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l.I5K\Catholic\KC\State\2020-2021\20210501-State-Convention-(D11-Park-City)-(Virtual)\ST-Ryan-Budget-Committee\"/>
    </mc:Choice>
  </mc:AlternateContent>
  <xr:revisionPtr revIDLastSave="0" documentId="13_ncr:1_{419AD3E4-9AC8-459C-9F8B-4389759D747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udget vs. Actuals" sheetId="1" r:id="rId1"/>
    <sheet name="wrksht" sheetId="2" r:id="rId2"/>
    <sheet name="PC &amp; Credit" sheetId="3" r:id="rId3"/>
  </sheets>
  <definedNames>
    <definedName name="_xlnm.Print_Area" localSheetId="0">'Budget vs. Actuals'!$A$1:$L$123</definedName>
    <definedName name="_xlnm.Print_Area" localSheetId="1">wrksht!$A$1:$L$121</definedName>
    <definedName name="_xlnm.Print_Titles" localSheetId="0">'Budget vs. Actuals'!$5:$6</definedName>
    <definedName name="_xlnm.Print_Titles" localSheetId="1">wrksht!$5:$6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3" l="1"/>
  <c r="O44" i="3"/>
  <c r="O45" i="3"/>
  <c r="O7" i="3"/>
  <c r="M8" i="3"/>
  <c r="M46" i="3" s="1"/>
  <c r="M9" i="3"/>
  <c r="O9" i="3" s="1"/>
  <c r="M10" i="3"/>
  <c r="O10" i="3" s="1"/>
  <c r="M11" i="3"/>
  <c r="O11" i="3" s="1"/>
  <c r="M12" i="3"/>
  <c r="O12" i="3" s="1"/>
  <c r="M13" i="3"/>
  <c r="O13" i="3" s="1"/>
  <c r="M14" i="3"/>
  <c r="M15" i="3"/>
  <c r="O15" i="3" s="1"/>
  <c r="M16" i="3"/>
  <c r="O16" i="3" s="1"/>
  <c r="M17" i="3"/>
  <c r="O17" i="3" s="1"/>
  <c r="M18" i="3"/>
  <c r="O18" i="3" s="1"/>
  <c r="M19" i="3"/>
  <c r="O19" i="3" s="1"/>
  <c r="M20" i="3"/>
  <c r="O20" i="3" s="1"/>
  <c r="M21" i="3"/>
  <c r="O21" i="3" s="1"/>
  <c r="M22" i="3"/>
  <c r="O22" i="3" s="1"/>
  <c r="M23" i="3"/>
  <c r="O23" i="3" s="1"/>
  <c r="M24" i="3"/>
  <c r="O24" i="3" s="1"/>
  <c r="M25" i="3"/>
  <c r="O25" i="3" s="1"/>
  <c r="M26" i="3"/>
  <c r="O26" i="3" s="1"/>
  <c r="M27" i="3"/>
  <c r="O27" i="3" s="1"/>
  <c r="M28" i="3"/>
  <c r="O28" i="3" s="1"/>
  <c r="M29" i="3"/>
  <c r="O29" i="3" s="1"/>
  <c r="M30" i="3"/>
  <c r="O30" i="3" s="1"/>
  <c r="M31" i="3"/>
  <c r="O31" i="3" s="1"/>
  <c r="M32" i="3"/>
  <c r="O32" i="3" s="1"/>
  <c r="M33" i="3"/>
  <c r="O33" i="3" s="1"/>
  <c r="M34" i="3"/>
  <c r="O34" i="3" s="1"/>
  <c r="M35" i="3"/>
  <c r="O35" i="3" s="1"/>
  <c r="M36" i="3"/>
  <c r="O36" i="3" s="1"/>
  <c r="M37" i="3"/>
  <c r="O37" i="3" s="1"/>
  <c r="M38" i="3"/>
  <c r="O38" i="3" s="1"/>
  <c r="M39" i="3"/>
  <c r="O39" i="3" s="1"/>
  <c r="M40" i="3"/>
  <c r="O40" i="3" s="1"/>
  <c r="M41" i="3"/>
  <c r="O41" i="3" s="1"/>
  <c r="M42" i="3"/>
  <c r="O42" i="3" s="1"/>
  <c r="M43" i="3"/>
  <c r="O43" i="3" s="1"/>
  <c r="M45" i="3"/>
  <c r="M7" i="3"/>
  <c r="O8" i="3" l="1"/>
  <c r="O46" i="3" s="1"/>
  <c r="C127" i="2"/>
  <c r="C129" i="2" s="1"/>
  <c r="D110" i="2" l="1"/>
  <c r="D109" i="2"/>
  <c r="C109" i="2"/>
  <c r="D106" i="2"/>
  <c r="C106" i="2"/>
  <c r="C110" i="2" s="1"/>
  <c r="C111" i="2" s="1"/>
  <c r="D99" i="2"/>
  <c r="C99" i="2"/>
  <c r="C101" i="2" s="1"/>
  <c r="C102" i="2" s="1"/>
  <c r="D89" i="2"/>
  <c r="C89" i="2"/>
  <c r="D83" i="2"/>
  <c r="C83" i="2"/>
  <c r="D77" i="2"/>
  <c r="C77" i="2"/>
  <c r="D72" i="2"/>
  <c r="C72" i="2"/>
  <c r="D65" i="2"/>
  <c r="C65" i="2"/>
  <c r="D49" i="2"/>
  <c r="C49" i="2"/>
  <c r="D46" i="2"/>
  <c r="C46" i="2"/>
  <c r="D97" i="1"/>
  <c r="D95" i="1"/>
  <c r="D94" i="1"/>
  <c r="D91" i="1"/>
  <c r="D88" i="1"/>
  <c r="D87" i="1"/>
  <c r="D85" i="1"/>
  <c r="E64" i="1"/>
  <c r="E62" i="1"/>
  <c r="D62" i="1"/>
  <c r="E61" i="1"/>
  <c r="D61" i="1"/>
  <c r="E60" i="1"/>
  <c r="D60" i="1"/>
  <c r="E59" i="1"/>
  <c r="D59" i="1"/>
  <c r="E58" i="1"/>
  <c r="D58" i="1"/>
  <c r="E57" i="1"/>
  <c r="E56" i="1"/>
  <c r="D56" i="1"/>
  <c r="E55" i="1"/>
  <c r="D55" i="1"/>
  <c r="E54" i="1"/>
  <c r="D54" i="1"/>
  <c r="E52" i="1"/>
  <c r="D52" i="1"/>
  <c r="E45" i="1"/>
  <c r="E44" i="1"/>
  <c r="D44" i="1"/>
  <c r="E43" i="1"/>
  <c r="E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E12" i="1"/>
  <c r="D12" i="1"/>
  <c r="E11" i="1"/>
  <c r="D11" i="1"/>
  <c r="E10" i="1"/>
  <c r="E9" i="1"/>
  <c r="D9" i="1"/>
  <c r="E8" i="1"/>
  <c r="D8" i="1"/>
  <c r="D101" i="2" l="1"/>
  <c r="D102" i="2" s="1"/>
  <c r="D111" i="2" s="1"/>
  <c r="D119" i="2" s="1"/>
  <c r="D121" i="2" s="1"/>
  <c r="C120" i="2"/>
  <c r="C119" i="2"/>
  <c r="C115" i="2"/>
  <c r="K109" i="2"/>
  <c r="L109" i="2" s="1"/>
  <c r="J109" i="2"/>
  <c r="I109" i="2"/>
  <c r="H109" i="2"/>
  <c r="G109" i="2"/>
  <c r="F109" i="2"/>
  <c r="E109" i="2"/>
  <c r="L108" i="2"/>
  <c r="I108" i="2"/>
  <c r="I107" i="2"/>
  <c r="K106" i="2"/>
  <c r="H106" i="2"/>
  <c r="H110" i="2" s="1"/>
  <c r="I110" i="2" s="1"/>
  <c r="G106" i="2"/>
  <c r="G110" i="2" s="1"/>
  <c r="F106" i="2"/>
  <c r="E106" i="2"/>
  <c r="E110" i="2" s="1"/>
  <c r="F110" i="2" s="1"/>
  <c r="K105" i="2"/>
  <c r="L105" i="2" s="1"/>
  <c r="J105" i="2"/>
  <c r="J106" i="2" s="1"/>
  <c r="J110" i="2" s="1"/>
  <c r="I105" i="2"/>
  <c r="L104" i="2"/>
  <c r="I104" i="2"/>
  <c r="I103" i="2"/>
  <c r="L100" i="2"/>
  <c r="J100" i="2"/>
  <c r="I100" i="2"/>
  <c r="H99" i="2"/>
  <c r="I99" i="2" s="1"/>
  <c r="G99" i="2"/>
  <c r="K98" i="2"/>
  <c r="L98" i="2" s="1"/>
  <c r="J98" i="2"/>
  <c r="I98" i="2"/>
  <c r="F98" i="2"/>
  <c r="E98" i="2"/>
  <c r="L97" i="2"/>
  <c r="I97" i="2"/>
  <c r="E97" i="2"/>
  <c r="F97" i="2"/>
  <c r="L96" i="2"/>
  <c r="J96" i="2"/>
  <c r="I96" i="2"/>
  <c r="F96" i="2"/>
  <c r="L95" i="2"/>
  <c r="K95" i="2"/>
  <c r="J95" i="2"/>
  <c r="I95" i="2"/>
  <c r="F95" i="2"/>
  <c r="E95" i="2"/>
  <c r="K94" i="2"/>
  <c r="L94" i="2" s="1"/>
  <c r="J94" i="2"/>
  <c r="I94" i="2"/>
  <c r="F94" i="2"/>
  <c r="E94" i="2"/>
  <c r="K93" i="2"/>
  <c r="J93" i="2"/>
  <c r="L93" i="2" s="1"/>
  <c r="I93" i="2"/>
  <c r="E93" i="2"/>
  <c r="F93" i="2" s="1"/>
  <c r="L92" i="2"/>
  <c r="K92" i="2"/>
  <c r="J92" i="2"/>
  <c r="I92" i="2"/>
  <c r="F92" i="2"/>
  <c r="E92" i="2"/>
  <c r="K91" i="2"/>
  <c r="K99" i="2" s="1"/>
  <c r="J91" i="2"/>
  <c r="J99" i="2" s="1"/>
  <c r="I91" i="2"/>
  <c r="E91" i="2"/>
  <c r="E99" i="2" s="1"/>
  <c r="F91" i="2"/>
  <c r="L90" i="2"/>
  <c r="I90" i="2"/>
  <c r="F90" i="2"/>
  <c r="H89" i="2"/>
  <c r="I89" i="2" s="1"/>
  <c r="G89" i="2"/>
  <c r="K88" i="2"/>
  <c r="J88" i="2"/>
  <c r="L88" i="2" s="1"/>
  <c r="I88" i="2"/>
  <c r="E88" i="2"/>
  <c r="E89" i="2" s="1"/>
  <c r="L87" i="2"/>
  <c r="K87" i="2"/>
  <c r="J87" i="2"/>
  <c r="I87" i="2"/>
  <c r="F87" i="2"/>
  <c r="E87" i="2"/>
  <c r="L86" i="2"/>
  <c r="K86" i="2"/>
  <c r="K89" i="2" s="1"/>
  <c r="J86" i="2"/>
  <c r="I86" i="2"/>
  <c r="E86" i="2"/>
  <c r="F86" i="2" s="1"/>
  <c r="K85" i="2"/>
  <c r="J85" i="2"/>
  <c r="J89" i="2" s="1"/>
  <c r="I85" i="2"/>
  <c r="F85" i="2"/>
  <c r="E85" i="2"/>
  <c r="L84" i="2"/>
  <c r="I84" i="2"/>
  <c r="F84" i="2"/>
  <c r="K83" i="2"/>
  <c r="L83" i="2" s="1"/>
  <c r="I83" i="2"/>
  <c r="H83" i="2"/>
  <c r="G83" i="2"/>
  <c r="L82" i="2"/>
  <c r="K82" i="2"/>
  <c r="J82" i="2"/>
  <c r="I82" i="2"/>
  <c r="F82" i="2"/>
  <c r="E82" i="2"/>
  <c r="K81" i="2"/>
  <c r="L81" i="2" s="1"/>
  <c r="J81" i="2"/>
  <c r="J83" i="2" s="1"/>
  <c r="I81" i="2"/>
  <c r="E81" i="2"/>
  <c r="F81" i="2" s="1"/>
  <c r="L80" i="2"/>
  <c r="I80" i="2"/>
  <c r="F80" i="2"/>
  <c r="L79" i="2"/>
  <c r="K79" i="2"/>
  <c r="J79" i="2"/>
  <c r="I79" i="2"/>
  <c r="E79" i="2"/>
  <c r="F79" i="2" s="1"/>
  <c r="L78" i="2"/>
  <c r="I78" i="2"/>
  <c r="F78" i="2"/>
  <c r="K77" i="2"/>
  <c r="H77" i="2"/>
  <c r="I77" i="2" s="1"/>
  <c r="G77" i="2"/>
  <c r="E77" i="2"/>
  <c r="F77" i="2" s="1"/>
  <c r="L76" i="2"/>
  <c r="J76" i="2"/>
  <c r="I76" i="2"/>
  <c r="F76" i="2"/>
  <c r="E76" i="2"/>
  <c r="L75" i="2"/>
  <c r="J75" i="2"/>
  <c r="I75" i="2"/>
  <c r="F75" i="2"/>
  <c r="E75" i="2"/>
  <c r="L74" i="2"/>
  <c r="J74" i="2"/>
  <c r="J77" i="2" s="1"/>
  <c r="L77" i="2" s="1"/>
  <c r="I74" i="2"/>
  <c r="F74" i="2"/>
  <c r="E74" i="2"/>
  <c r="L73" i="2"/>
  <c r="K73" i="2"/>
  <c r="I73" i="2"/>
  <c r="F73" i="2"/>
  <c r="G72" i="2"/>
  <c r="L71" i="2"/>
  <c r="K71" i="2"/>
  <c r="J71" i="2"/>
  <c r="H71" i="2"/>
  <c r="H72" i="2" s="1"/>
  <c r="I72" i="2" s="1"/>
  <c r="F71" i="2"/>
  <c r="E71" i="2"/>
  <c r="L70" i="2"/>
  <c r="I70" i="2"/>
  <c r="F70" i="2"/>
  <c r="K69" i="2"/>
  <c r="J69" i="2"/>
  <c r="L69" i="2" s="1"/>
  <c r="I69" i="2"/>
  <c r="E69" i="2"/>
  <c r="F69" i="2" s="1"/>
  <c r="L68" i="2"/>
  <c r="K68" i="2"/>
  <c r="J68" i="2"/>
  <c r="I68" i="2"/>
  <c r="F68" i="2"/>
  <c r="E68" i="2"/>
  <c r="K67" i="2"/>
  <c r="K72" i="2" s="1"/>
  <c r="J67" i="2"/>
  <c r="J72" i="2" s="1"/>
  <c r="I67" i="2"/>
  <c r="E67" i="2"/>
  <c r="F67" i="2" s="1"/>
  <c r="L66" i="2"/>
  <c r="I66" i="2"/>
  <c r="F66" i="2"/>
  <c r="H65" i="2"/>
  <c r="H101" i="2" s="1"/>
  <c r="I101" i="2" s="1"/>
  <c r="G65" i="2"/>
  <c r="G101" i="2" s="1"/>
  <c r="L64" i="2"/>
  <c r="K64" i="2"/>
  <c r="J64" i="2"/>
  <c r="I64" i="2"/>
  <c r="F64" i="2"/>
  <c r="E64" i="2"/>
  <c r="L63" i="2"/>
  <c r="I63" i="2"/>
  <c r="F63" i="2"/>
  <c r="L62" i="2"/>
  <c r="J62" i="2"/>
  <c r="I62" i="2"/>
  <c r="E62" i="2"/>
  <c r="F62" i="2"/>
  <c r="L61" i="2"/>
  <c r="K61" i="2"/>
  <c r="J61" i="2"/>
  <c r="I61" i="2"/>
  <c r="E61" i="2"/>
  <c r="F61" i="2" s="1"/>
  <c r="L60" i="2"/>
  <c r="K60" i="2"/>
  <c r="J60" i="2"/>
  <c r="I60" i="2"/>
  <c r="E60" i="2"/>
  <c r="F60" i="2" s="1"/>
  <c r="K59" i="2"/>
  <c r="L59" i="2" s="1"/>
  <c r="J59" i="2"/>
  <c r="I59" i="2"/>
  <c r="E59" i="2"/>
  <c r="F59" i="2" s="1"/>
  <c r="K58" i="2"/>
  <c r="J58" i="2"/>
  <c r="L58" i="2" s="1"/>
  <c r="I58" i="2"/>
  <c r="F58" i="2"/>
  <c r="E58" i="2"/>
  <c r="K57" i="2"/>
  <c r="L57" i="2" s="1"/>
  <c r="J57" i="2"/>
  <c r="I57" i="2"/>
  <c r="F57" i="2"/>
  <c r="E57" i="2"/>
  <c r="K56" i="2"/>
  <c r="L56" i="2" s="1"/>
  <c r="J56" i="2"/>
  <c r="I56" i="2"/>
  <c r="E56" i="2"/>
  <c r="F56" i="2" s="1"/>
  <c r="L55" i="2"/>
  <c r="K55" i="2"/>
  <c r="J55" i="2"/>
  <c r="I55" i="2"/>
  <c r="E55" i="2"/>
  <c r="L54" i="2"/>
  <c r="K54" i="2"/>
  <c r="J54" i="2"/>
  <c r="I54" i="2"/>
  <c r="E54" i="2"/>
  <c r="F54" i="2" s="1"/>
  <c r="L53" i="2"/>
  <c r="J53" i="2"/>
  <c r="I53" i="2"/>
  <c r="F53" i="2"/>
  <c r="K52" i="2"/>
  <c r="K65" i="2" s="1"/>
  <c r="J52" i="2"/>
  <c r="J65" i="2" s="1"/>
  <c r="I52" i="2"/>
  <c r="F52" i="2"/>
  <c r="E52" i="2"/>
  <c r="E65" i="2" s="1"/>
  <c r="L51" i="2"/>
  <c r="I51" i="2"/>
  <c r="F51" i="2"/>
  <c r="I50" i="2"/>
  <c r="L48" i="2"/>
  <c r="I48" i="2"/>
  <c r="L47" i="2"/>
  <c r="I47" i="2"/>
  <c r="I46" i="2"/>
  <c r="H46" i="2"/>
  <c r="H49" i="2" s="1"/>
  <c r="G46" i="2"/>
  <c r="G49" i="2" s="1"/>
  <c r="L45" i="2"/>
  <c r="I45" i="2"/>
  <c r="F45" i="2"/>
  <c r="E45" i="2"/>
  <c r="L44" i="2"/>
  <c r="K44" i="2"/>
  <c r="J44" i="2"/>
  <c r="I44" i="2"/>
  <c r="E44" i="2"/>
  <c r="F44" i="2" s="1"/>
  <c r="L43" i="2"/>
  <c r="K43" i="2"/>
  <c r="I43" i="2"/>
  <c r="E43" i="2"/>
  <c r="F43" i="2" s="1"/>
  <c r="L42" i="2"/>
  <c r="K42" i="2"/>
  <c r="I42" i="2"/>
  <c r="F42" i="2"/>
  <c r="E42" i="2"/>
  <c r="L41" i="2"/>
  <c r="K41" i="2"/>
  <c r="J41" i="2"/>
  <c r="I41" i="2"/>
  <c r="E41" i="2"/>
  <c r="F41" i="2" s="1"/>
  <c r="L40" i="2"/>
  <c r="K40" i="2"/>
  <c r="J40" i="2"/>
  <c r="I40" i="2"/>
  <c r="E40" i="2"/>
  <c r="F40" i="2"/>
  <c r="L39" i="2"/>
  <c r="K39" i="2"/>
  <c r="J39" i="2"/>
  <c r="I39" i="2"/>
  <c r="E39" i="2"/>
  <c r="F39" i="2" s="1"/>
  <c r="L38" i="2"/>
  <c r="K38" i="2"/>
  <c r="J38" i="2"/>
  <c r="I38" i="2"/>
  <c r="E38" i="2"/>
  <c r="F38" i="2" s="1"/>
  <c r="K37" i="2"/>
  <c r="J37" i="2"/>
  <c r="L37" i="2" s="1"/>
  <c r="I37" i="2"/>
  <c r="F37" i="2"/>
  <c r="E37" i="2"/>
  <c r="K36" i="2"/>
  <c r="J36" i="2"/>
  <c r="L36" i="2" s="1"/>
  <c r="I36" i="2"/>
  <c r="F36" i="2"/>
  <c r="E36" i="2"/>
  <c r="K35" i="2"/>
  <c r="L35" i="2" s="1"/>
  <c r="J35" i="2"/>
  <c r="I35" i="2"/>
  <c r="E35" i="2"/>
  <c r="F35" i="2" s="1"/>
  <c r="L34" i="2"/>
  <c r="K34" i="2"/>
  <c r="J34" i="2"/>
  <c r="I34" i="2"/>
  <c r="E34" i="2"/>
  <c r="F34" i="2"/>
  <c r="L33" i="2"/>
  <c r="K33" i="2"/>
  <c r="J33" i="2"/>
  <c r="I33" i="2"/>
  <c r="E33" i="2"/>
  <c r="F33" i="2" s="1"/>
  <c r="L32" i="2"/>
  <c r="K32" i="2"/>
  <c r="I32" i="2"/>
  <c r="E32" i="2"/>
  <c r="F32" i="2" s="1"/>
  <c r="K31" i="2"/>
  <c r="L31" i="2" s="1"/>
  <c r="J31" i="2"/>
  <c r="I31" i="2"/>
  <c r="F31" i="2"/>
  <c r="E31" i="2"/>
  <c r="K30" i="2"/>
  <c r="J30" i="2"/>
  <c r="L30" i="2" s="1"/>
  <c r="I30" i="2"/>
  <c r="F30" i="2"/>
  <c r="E30" i="2"/>
  <c r="K29" i="2"/>
  <c r="L29" i="2" s="1"/>
  <c r="J29" i="2"/>
  <c r="I29" i="2"/>
  <c r="E29" i="2"/>
  <c r="F29" i="2" s="1"/>
  <c r="L28" i="2"/>
  <c r="K28" i="2"/>
  <c r="J28" i="2"/>
  <c r="I28" i="2"/>
  <c r="F28" i="2"/>
  <c r="E28" i="2"/>
  <c r="L27" i="2"/>
  <c r="K27" i="2"/>
  <c r="J27" i="2"/>
  <c r="I27" i="2"/>
  <c r="E27" i="2"/>
  <c r="F27" i="2"/>
  <c r="K26" i="2"/>
  <c r="L26" i="2" s="1"/>
  <c r="J26" i="2"/>
  <c r="I26" i="2"/>
  <c r="E26" i="2"/>
  <c r="F26" i="2" s="1"/>
  <c r="K25" i="2"/>
  <c r="J25" i="2"/>
  <c r="L25" i="2" s="1"/>
  <c r="I25" i="2"/>
  <c r="F25" i="2"/>
  <c r="E25" i="2"/>
  <c r="K24" i="2"/>
  <c r="L24" i="2" s="1"/>
  <c r="J24" i="2"/>
  <c r="I24" i="2"/>
  <c r="F24" i="2"/>
  <c r="E24" i="2"/>
  <c r="K23" i="2"/>
  <c r="L23" i="2" s="1"/>
  <c r="J23" i="2"/>
  <c r="I23" i="2"/>
  <c r="E23" i="2"/>
  <c r="F23" i="2" s="1"/>
  <c r="L22" i="2"/>
  <c r="K22" i="2"/>
  <c r="J22" i="2"/>
  <c r="I22" i="2"/>
  <c r="E22" i="2"/>
  <c r="F22" i="2" s="1"/>
  <c r="L21" i="2"/>
  <c r="K21" i="2"/>
  <c r="J21" i="2"/>
  <c r="I21" i="2"/>
  <c r="F21" i="2"/>
  <c r="E21" i="2"/>
  <c r="K20" i="2"/>
  <c r="J20" i="2"/>
  <c r="L20" i="2" s="1"/>
  <c r="I20" i="2"/>
  <c r="F20" i="2"/>
  <c r="E20" i="2"/>
  <c r="K19" i="2"/>
  <c r="J19" i="2"/>
  <c r="L19" i="2" s="1"/>
  <c r="I19" i="2"/>
  <c r="F19" i="2"/>
  <c r="E19" i="2"/>
  <c r="K18" i="2"/>
  <c r="L18" i="2" s="1"/>
  <c r="J18" i="2"/>
  <c r="I18" i="2"/>
  <c r="E18" i="2"/>
  <c r="F18" i="2" s="1"/>
  <c r="L17" i="2"/>
  <c r="K17" i="2"/>
  <c r="J17" i="2"/>
  <c r="I17" i="2"/>
  <c r="F17" i="2"/>
  <c r="E17" i="2"/>
  <c r="L16" i="2"/>
  <c r="K16" i="2"/>
  <c r="J16" i="2"/>
  <c r="I16" i="2"/>
  <c r="E16" i="2"/>
  <c r="F16" i="2"/>
  <c r="K15" i="2"/>
  <c r="L15" i="2" s="1"/>
  <c r="J15" i="2"/>
  <c r="I15" i="2"/>
  <c r="E15" i="2"/>
  <c r="F15" i="2" s="1"/>
  <c r="K14" i="2"/>
  <c r="J14" i="2"/>
  <c r="L14" i="2" s="1"/>
  <c r="I14" i="2"/>
  <c r="F14" i="2"/>
  <c r="E14" i="2"/>
  <c r="K13" i="2"/>
  <c r="J13" i="2"/>
  <c r="L13" i="2" s="1"/>
  <c r="I13" i="2"/>
  <c r="F13" i="2"/>
  <c r="E13" i="2"/>
  <c r="L12" i="2"/>
  <c r="K12" i="2"/>
  <c r="J12" i="2"/>
  <c r="I12" i="2"/>
  <c r="E12" i="2"/>
  <c r="F12" i="2"/>
  <c r="L11" i="2"/>
  <c r="K11" i="2"/>
  <c r="J11" i="2"/>
  <c r="I11" i="2"/>
  <c r="E11" i="2"/>
  <c r="F11" i="2" s="1"/>
  <c r="L10" i="2"/>
  <c r="K10" i="2"/>
  <c r="J10" i="2"/>
  <c r="I10" i="2"/>
  <c r="F10" i="2"/>
  <c r="E10" i="2"/>
  <c r="K9" i="2"/>
  <c r="K46" i="2" s="1"/>
  <c r="J9" i="2"/>
  <c r="L9" i="2" s="1"/>
  <c r="I9" i="2"/>
  <c r="F9" i="2"/>
  <c r="E9" i="2"/>
  <c r="L8" i="2"/>
  <c r="I8" i="2"/>
  <c r="E8" i="2"/>
  <c r="E46" i="2" s="1"/>
  <c r="C120" i="1"/>
  <c r="C119" i="1"/>
  <c r="C46" i="1"/>
  <c r="C49" i="1" s="1"/>
  <c r="E109" i="1"/>
  <c r="D109" i="1"/>
  <c r="E106" i="1"/>
  <c r="F106" i="1" s="1"/>
  <c r="D106" i="1"/>
  <c r="E98" i="1"/>
  <c r="F98" i="1" s="1"/>
  <c r="E97" i="1"/>
  <c r="F96" i="1"/>
  <c r="E95" i="1"/>
  <c r="F95" i="1" s="1"/>
  <c r="E94" i="1"/>
  <c r="E93" i="1"/>
  <c r="F93" i="1" s="1"/>
  <c r="E92" i="1"/>
  <c r="E91" i="1"/>
  <c r="F90" i="1"/>
  <c r="E88" i="1"/>
  <c r="F88" i="1" s="1"/>
  <c r="D89" i="1"/>
  <c r="E87" i="1"/>
  <c r="F87" i="1" s="1"/>
  <c r="E86" i="1"/>
  <c r="F86" i="1" s="1"/>
  <c r="E85" i="1"/>
  <c r="F85" i="1" s="1"/>
  <c r="F84" i="1"/>
  <c r="D83" i="1"/>
  <c r="E82" i="1"/>
  <c r="F82" i="1" s="1"/>
  <c r="E81" i="1"/>
  <c r="F81" i="1" s="1"/>
  <c r="F80" i="1"/>
  <c r="E79" i="1"/>
  <c r="F79" i="1" s="1"/>
  <c r="F78" i="1"/>
  <c r="E76" i="1"/>
  <c r="F76" i="1" s="1"/>
  <c r="E75" i="1"/>
  <c r="F75" i="1" s="1"/>
  <c r="F74" i="1"/>
  <c r="E74" i="1"/>
  <c r="E77" i="1" s="1"/>
  <c r="D74" i="1"/>
  <c r="D77" i="1" s="1"/>
  <c r="F73" i="1"/>
  <c r="D72" i="1"/>
  <c r="E71" i="1"/>
  <c r="F71" i="1" s="1"/>
  <c r="F70" i="1"/>
  <c r="E69" i="1"/>
  <c r="F69" i="1" s="1"/>
  <c r="E68" i="1"/>
  <c r="F68" i="1" s="1"/>
  <c r="E67" i="1"/>
  <c r="F67" i="1" s="1"/>
  <c r="F66" i="1"/>
  <c r="F64" i="1"/>
  <c r="F63" i="1"/>
  <c r="F59" i="1"/>
  <c r="F57" i="1"/>
  <c r="F55" i="1"/>
  <c r="F54" i="1"/>
  <c r="F53" i="1"/>
  <c r="E65" i="1"/>
  <c r="F51" i="1"/>
  <c r="F45" i="1"/>
  <c r="F44" i="1"/>
  <c r="F43" i="1"/>
  <c r="F42" i="1"/>
  <c r="F40" i="1"/>
  <c r="F38" i="1"/>
  <c r="F37" i="1"/>
  <c r="F36" i="1"/>
  <c r="F33" i="1"/>
  <c r="F32" i="1"/>
  <c r="F31" i="1"/>
  <c r="F28" i="1"/>
  <c r="F27" i="1"/>
  <c r="F25" i="1"/>
  <c r="F24" i="1"/>
  <c r="F23" i="1"/>
  <c r="F21" i="1"/>
  <c r="F20" i="1"/>
  <c r="F19" i="1"/>
  <c r="F17" i="1"/>
  <c r="F16" i="1"/>
  <c r="F15" i="1"/>
  <c r="F14" i="1"/>
  <c r="F13" i="1"/>
  <c r="F12" i="1"/>
  <c r="F11" i="1"/>
  <c r="F10" i="1"/>
  <c r="F9" i="1"/>
  <c r="H109" i="1"/>
  <c r="G109" i="1"/>
  <c r="H106" i="1"/>
  <c r="I106" i="1" s="1"/>
  <c r="G106" i="1"/>
  <c r="H99" i="1"/>
  <c r="G99" i="1"/>
  <c r="H89" i="1"/>
  <c r="G89" i="1"/>
  <c r="H83" i="1"/>
  <c r="I83" i="1" s="1"/>
  <c r="G83" i="1"/>
  <c r="H77" i="1"/>
  <c r="G77" i="1"/>
  <c r="G72" i="1"/>
  <c r="I67" i="1"/>
  <c r="I68" i="1"/>
  <c r="I69" i="1"/>
  <c r="I70" i="1"/>
  <c r="I73" i="1"/>
  <c r="I74" i="1"/>
  <c r="I75" i="1"/>
  <c r="I76" i="1"/>
  <c r="I78" i="1"/>
  <c r="I79" i="1"/>
  <c r="I80" i="1"/>
  <c r="I81" i="1"/>
  <c r="I82" i="1"/>
  <c r="I84" i="1"/>
  <c r="I85" i="1"/>
  <c r="I86" i="1"/>
  <c r="I87" i="1"/>
  <c r="I88" i="1"/>
  <c r="I90" i="1"/>
  <c r="I91" i="1"/>
  <c r="I92" i="1"/>
  <c r="I93" i="1"/>
  <c r="I94" i="1"/>
  <c r="I95" i="1"/>
  <c r="I96" i="1"/>
  <c r="I97" i="1"/>
  <c r="I98" i="1"/>
  <c r="I100" i="1"/>
  <c r="I103" i="1"/>
  <c r="I104" i="1"/>
  <c r="I105" i="1"/>
  <c r="I107" i="1"/>
  <c r="I108" i="1"/>
  <c r="I66" i="1"/>
  <c r="I51" i="1"/>
  <c r="I50" i="1"/>
  <c r="I53" i="1"/>
  <c r="I54" i="1"/>
  <c r="I55" i="1"/>
  <c r="I56" i="1"/>
  <c r="I57" i="1"/>
  <c r="I58" i="1"/>
  <c r="I59" i="1"/>
  <c r="I60" i="1"/>
  <c r="I61" i="1"/>
  <c r="I62" i="1"/>
  <c r="I63" i="1"/>
  <c r="I64" i="1"/>
  <c r="I52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G102" i="2" l="1"/>
  <c r="G111" i="2" s="1"/>
  <c r="J101" i="2"/>
  <c r="L99" i="2"/>
  <c r="L106" i="2"/>
  <c r="H102" i="2"/>
  <c r="I49" i="2"/>
  <c r="K101" i="2"/>
  <c r="L65" i="2"/>
  <c r="L89" i="2"/>
  <c r="L72" i="2"/>
  <c r="F89" i="2"/>
  <c r="K49" i="2"/>
  <c r="F46" i="2"/>
  <c r="E49" i="2"/>
  <c r="E101" i="2"/>
  <c r="F65" i="2"/>
  <c r="F8" i="2"/>
  <c r="J46" i="2"/>
  <c r="J49" i="2" s="1"/>
  <c r="L67" i="2"/>
  <c r="F88" i="2"/>
  <c r="L91" i="2"/>
  <c r="I106" i="2"/>
  <c r="F55" i="2"/>
  <c r="E72" i="2"/>
  <c r="F72" i="2" s="1"/>
  <c r="E83" i="2"/>
  <c r="F83" i="2" s="1"/>
  <c r="L85" i="2"/>
  <c r="K110" i="2"/>
  <c r="L110" i="2" s="1"/>
  <c r="L52" i="2"/>
  <c r="I71" i="2"/>
  <c r="F99" i="2"/>
  <c r="I65" i="2"/>
  <c r="E101" i="1"/>
  <c r="F22" i="1"/>
  <c r="F26" i="1"/>
  <c r="F30" i="1"/>
  <c r="F39" i="1"/>
  <c r="F58" i="1"/>
  <c r="F62" i="1"/>
  <c r="F94" i="1"/>
  <c r="I99" i="1"/>
  <c r="H110" i="1"/>
  <c r="I110" i="1" s="1"/>
  <c r="F18" i="1"/>
  <c r="F35" i="1"/>
  <c r="D110" i="1"/>
  <c r="D46" i="1"/>
  <c r="D49" i="1" s="1"/>
  <c r="F91" i="1"/>
  <c r="E110" i="1"/>
  <c r="I77" i="1"/>
  <c r="E46" i="1"/>
  <c r="E49" i="1" s="1"/>
  <c r="F8" i="1"/>
  <c r="F41" i="1"/>
  <c r="D65" i="1"/>
  <c r="F56" i="1"/>
  <c r="F60" i="1"/>
  <c r="E99" i="1"/>
  <c r="D99" i="1"/>
  <c r="F29" i="1"/>
  <c r="F61" i="1"/>
  <c r="F77" i="1"/>
  <c r="I89" i="1"/>
  <c r="G110" i="1"/>
  <c r="F34" i="1"/>
  <c r="F110" i="1"/>
  <c r="F109" i="1"/>
  <c r="F97" i="1"/>
  <c r="F92" i="1"/>
  <c r="E89" i="1"/>
  <c r="F89" i="1" s="1"/>
  <c r="E83" i="1"/>
  <c r="F83" i="1" s="1"/>
  <c r="E72" i="1"/>
  <c r="F72" i="1" s="1"/>
  <c r="F65" i="1"/>
  <c r="F52" i="1"/>
  <c r="I109" i="1"/>
  <c r="C115" i="1"/>
  <c r="C109" i="1"/>
  <c r="C106" i="1"/>
  <c r="C110" i="1" s="1"/>
  <c r="C99" i="1"/>
  <c r="C89" i="1"/>
  <c r="C83" i="1"/>
  <c r="C77" i="1"/>
  <c r="C72" i="1"/>
  <c r="C65" i="1"/>
  <c r="K109" i="1"/>
  <c r="J109" i="1"/>
  <c r="L108" i="1"/>
  <c r="K105" i="1"/>
  <c r="K106" i="1" s="1"/>
  <c r="J105" i="1"/>
  <c r="J106" i="1" s="1"/>
  <c r="L104" i="1"/>
  <c r="L100" i="1"/>
  <c r="J100" i="1"/>
  <c r="K98" i="1"/>
  <c r="J98" i="1"/>
  <c r="L97" i="1"/>
  <c r="L96" i="1"/>
  <c r="J96" i="1"/>
  <c r="K95" i="1"/>
  <c r="J95" i="1"/>
  <c r="K94" i="1"/>
  <c r="J94" i="1"/>
  <c r="K93" i="1"/>
  <c r="J93" i="1"/>
  <c r="K92" i="1"/>
  <c r="J92" i="1"/>
  <c r="K91" i="1"/>
  <c r="J91" i="1"/>
  <c r="L90" i="1"/>
  <c r="K88" i="1"/>
  <c r="J88" i="1"/>
  <c r="K87" i="1"/>
  <c r="J87" i="1"/>
  <c r="K86" i="1"/>
  <c r="J86" i="1"/>
  <c r="K85" i="1"/>
  <c r="J85" i="1"/>
  <c r="L84" i="1"/>
  <c r="K82" i="1"/>
  <c r="J82" i="1"/>
  <c r="K81" i="1"/>
  <c r="J81" i="1"/>
  <c r="L80" i="1"/>
  <c r="K79" i="1"/>
  <c r="J79" i="1"/>
  <c r="L78" i="1"/>
  <c r="L76" i="1"/>
  <c r="J76" i="1"/>
  <c r="L75" i="1"/>
  <c r="J75" i="1"/>
  <c r="L74" i="1"/>
  <c r="J74" i="1"/>
  <c r="K73" i="1"/>
  <c r="L73" i="1" s="1"/>
  <c r="K71" i="1"/>
  <c r="J71" i="1"/>
  <c r="L70" i="1"/>
  <c r="K69" i="1"/>
  <c r="J69" i="1"/>
  <c r="K68" i="1"/>
  <c r="J68" i="1"/>
  <c r="K67" i="1"/>
  <c r="J67" i="1"/>
  <c r="L66" i="1"/>
  <c r="K64" i="1"/>
  <c r="J64" i="1"/>
  <c r="L63" i="1"/>
  <c r="L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L53" i="1"/>
  <c r="J53" i="1"/>
  <c r="K52" i="1"/>
  <c r="J52" i="1"/>
  <c r="L51" i="1"/>
  <c r="L48" i="1"/>
  <c r="L47" i="1"/>
  <c r="L45" i="1"/>
  <c r="K44" i="1"/>
  <c r="J44" i="1"/>
  <c r="K43" i="1"/>
  <c r="L43" i="1" s="1"/>
  <c r="K42" i="1"/>
  <c r="L42" i="1" s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L32" i="1" s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L8" i="1"/>
  <c r="H71" i="1"/>
  <c r="I48" i="1"/>
  <c r="I47" i="1"/>
  <c r="F46" i="1" l="1"/>
  <c r="E102" i="2"/>
  <c r="F49" i="2"/>
  <c r="L101" i="2"/>
  <c r="K102" i="2"/>
  <c r="L49" i="2"/>
  <c r="L46" i="2"/>
  <c r="I102" i="2"/>
  <c r="H111" i="2"/>
  <c r="I111" i="2" s="1"/>
  <c r="J102" i="2"/>
  <c r="J111" i="2" s="1"/>
  <c r="F99" i="1"/>
  <c r="I71" i="1"/>
  <c r="H72" i="1"/>
  <c r="I72" i="1" s="1"/>
  <c r="D101" i="1"/>
  <c r="D102" i="1" s="1"/>
  <c r="D111" i="1" s="1"/>
  <c r="F49" i="1"/>
  <c r="E102" i="1"/>
  <c r="C101" i="1"/>
  <c r="C102" i="1" s="1"/>
  <c r="C111" i="1" s="1"/>
  <c r="L79" i="1"/>
  <c r="L58" i="1"/>
  <c r="L85" i="1"/>
  <c r="K72" i="1"/>
  <c r="L88" i="1"/>
  <c r="L71" i="1"/>
  <c r="L54" i="1"/>
  <c r="L18" i="1"/>
  <c r="L22" i="1"/>
  <c r="L35" i="1"/>
  <c r="L39" i="1"/>
  <c r="L44" i="1"/>
  <c r="K65" i="1"/>
  <c r="L67" i="1"/>
  <c r="L16" i="1"/>
  <c r="L20" i="1"/>
  <c r="L9" i="1"/>
  <c r="L17" i="1"/>
  <c r="L21" i="1"/>
  <c r="L25" i="1"/>
  <c r="L60" i="1"/>
  <c r="L93" i="1"/>
  <c r="L94" i="1"/>
  <c r="K110" i="1"/>
  <c r="L55" i="1"/>
  <c r="L38" i="1"/>
  <c r="L95" i="1"/>
  <c r="L57" i="1"/>
  <c r="L11" i="1"/>
  <c r="L23" i="1"/>
  <c r="L27" i="1"/>
  <c r="L61" i="1"/>
  <c r="L87" i="1"/>
  <c r="L56" i="1"/>
  <c r="H65" i="1"/>
  <c r="H101" i="1" s="1"/>
  <c r="J110" i="1"/>
  <c r="J65" i="1"/>
  <c r="L65" i="1" s="1"/>
  <c r="J77" i="1"/>
  <c r="L34" i="1"/>
  <c r="L12" i="1"/>
  <c r="L15" i="1"/>
  <c r="L28" i="1"/>
  <c r="L31" i="1"/>
  <c r="K77" i="1"/>
  <c r="L81" i="1"/>
  <c r="G46" i="1"/>
  <c r="L19" i="1"/>
  <c r="L36" i="1"/>
  <c r="L40" i="1"/>
  <c r="J72" i="1"/>
  <c r="L69" i="1"/>
  <c r="L98" i="1"/>
  <c r="H46" i="1"/>
  <c r="H49" i="1" s="1"/>
  <c r="H102" i="1" s="1"/>
  <c r="J46" i="1"/>
  <c r="L13" i="1"/>
  <c r="L26" i="1"/>
  <c r="L29" i="1"/>
  <c r="L33" i="1"/>
  <c r="L37" i="1"/>
  <c r="L41" i="1"/>
  <c r="L59" i="1"/>
  <c r="L82" i="1"/>
  <c r="L86" i="1"/>
  <c r="J99" i="1"/>
  <c r="L14" i="1"/>
  <c r="L30" i="1"/>
  <c r="K99" i="1"/>
  <c r="G65" i="1"/>
  <c r="G101" i="1" s="1"/>
  <c r="L24" i="1"/>
  <c r="L64" i="1"/>
  <c r="L68" i="1"/>
  <c r="J89" i="1"/>
  <c r="L92" i="1"/>
  <c r="L109" i="1"/>
  <c r="L52" i="1"/>
  <c r="K89" i="1"/>
  <c r="L91" i="1"/>
  <c r="L106" i="1"/>
  <c r="L10" i="1"/>
  <c r="J83" i="1"/>
  <c r="K46" i="1"/>
  <c r="K49" i="1" s="1"/>
  <c r="K83" i="1"/>
  <c r="L105" i="1"/>
  <c r="F101" i="1" l="1"/>
  <c r="K111" i="2"/>
  <c r="L111" i="2" s="1"/>
  <c r="L102" i="2"/>
  <c r="E111" i="2"/>
  <c r="F111" i="2" s="1"/>
  <c r="F102" i="2"/>
  <c r="F101" i="2"/>
  <c r="I101" i="1"/>
  <c r="F102" i="1"/>
  <c r="E111" i="1"/>
  <c r="F111" i="1" s="1"/>
  <c r="H111" i="1"/>
  <c r="I111" i="1" s="1"/>
  <c r="L77" i="1"/>
  <c r="J101" i="1"/>
  <c r="K101" i="1"/>
  <c r="K102" i="1" s="1"/>
  <c r="G49" i="1"/>
  <c r="G102" i="1" s="1"/>
  <c r="G111" i="1" s="1"/>
  <c r="J49" i="1"/>
  <c r="L72" i="1"/>
  <c r="L110" i="1"/>
  <c r="I65" i="1"/>
  <c r="I46" i="1"/>
  <c r="L99" i="1"/>
  <c r="L89" i="1"/>
  <c r="L83" i="1"/>
  <c r="L46" i="1"/>
  <c r="J102" i="1" l="1"/>
  <c r="I102" i="1"/>
  <c r="L101" i="1"/>
  <c r="J111" i="1"/>
  <c r="I49" i="1"/>
  <c r="L49" i="1"/>
  <c r="K111" i="1" l="1"/>
  <c r="L102" i="1"/>
  <c r="L111" i="1" l="1"/>
</calcChain>
</file>

<file path=xl/sharedStrings.xml><?xml version="1.0" encoding="utf-8"?>
<sst xmlns="http://schemas.openxmlformats.org/spreadsheetml/2006/main" count="388" uniqueCount="229">
  <si>
    <t>Actual</t>
  </si>
  <si>
    <t>Budget</t>
  </si>
  <si>
    <t>% of Budget</t>
  </si>
  <si>
    <t>Income</t>
  </si>
  <si>
    <t xml:space="preserve">   4000 Council Per Capita</t>
  </si>
  <si>
    <t xml:space="preserve">      4001 00602 Per Capita</t>
  </si>
  <si>
    <t xml:space="preserve">      4002 00777 Per Capita</t>
  </si>
  <si>
    <t xml:space="preserve">      4003 01129 Per Capita</t>
  </si>
  <si>
    <t xml:space="preserve">      4004 01136 Per Capita</t>
  </si>
  <si>
    <t xml:space="preserve">      4005 02611 Per Capita</t>
  </si>
  <si>
    <t xml:space="preserve">      4006 05214 Per Capita</t>
  </si>
  <si>
    <t xml:space="preserve">      4007 05347 Per Capita</t>
  </si>
  <si>
    <t xml:space="preserve">      4008 05502 Per Capita</t>
  </si>
  <si>
    <t xml:space="preserve">      4009 06010 Per Capita</t>
  </si>
  <si>
    <t xml:space="preserve">      4010 06147 Per Capita</t>
  </si>
  <si>
    <t xml:space="preserve">      4011 06739 Per Capita</t>
  </si>
  <si>
    <t xml:space="preserve">      4012 06966 Per Capita</t>
  </si>
  <si>
    <t xml:space="preserve">      4013 07401 Per Capita</t>
  </si>
  <si>
    <t xml:space="preserve">      4014 07961 Per Capita</t>
  </si>
  <si>
    <t xml:space="preserve">      4015 08350 Per Capita</t>
  </si>
  <si>
    <t xml:space="preserve">      4016 08606 Per Capita</t>
  </si>
  <si>
    <t xml:space="preserve">      4017 09561 Per Capita</t>
  </si>
  <si>
    <t xml:space="preserve">      4018 09731 Per Capita</t>
  </si>
  <si>
    <t xml:space="preserve">      4019 09849 Per Capita</t>
  </si>
  <si>
    <t xml:space="preserve">      4020 10304 Per Capita</t>
  </si>
  <si>
    <t xml:space="preserve">      4021 10733 Per Capita</t>
  </si>
  <si>
    <t xml:space="preserve">      4022 11246 Per Capita</t>
  </si>
  <si>
    <t xml:space="preserve">      4023 11479 Per Capita</t>
  </si>
  <si>
    <t xml:space="preserve">      4024 11812 Per Capita</t>
  </si>
  <si>
    <t xml:space="preserve">      4025 12181 Per Capita</t>
  </si>
  <si>
    <t xml:space="preserve">      4026 12264 Per Capita</t>
  </si>
  <si>
    <t xml:space="preserve">      4027 12959 Per Capita</t>
  </si>
  <si>
    <t xml:space="preserve">      4028 13297 Per Capita</t>
  </si>
  <si>
    <t xml:space="preserve">      4029 13646 Per Capita</t>
  </si>
  <si>
    <t xml:space="preserve">      4030 14239 Per Capita</t>
  </si>
  <si>
    <t xml:space="preserve">      4031 14399 Per Capita</t>
  </si>
  <si>
    <t xml:space="preserve">      4032 14764 Per Capita</t>
  </si>
  <si>
    <t xml:space="preserve">      4033 15418 Per Capita</t>
  </si>
  <si>
    <t xml:space="preserve">      4034 15741 Per Capita</t>
  </si>
  <si>
    <t xml:space="preserve">      4035 16006 Per Capita</t>
  </si>
  <si>
    <t xml:space="preserve">      4036 16127 Per Capita</t>
  </si>
  <si>
    <t xml:space="preserve">      4037 17140 Per Capita</t>
  </si>
  <si>
    <t xml:space="preserve">   Total 4000 Council Per Capita</t>
  </si>
  <si>
    <t>Total Income</t>
  </si>
  <si>
    <t>Expenses</t>
  </si>
  <si>
    <t xml:space="preserve">   6000 State Council Operating Expense</t>
  </si>
  <si>
    <t xml:space="preserve">      6005 Audit Expense</t>
  </si>
  <si>
    <t xml:space="preserve">      6010 Bank Charges Expense</t>
  </si>
  <si>
    <t xml:space="preserve">      6015 Insurance Premiums</t>
  </si>
  <si>
    <t xml:space="preserve">      6020 Officer-Director Travel</t>
  </si>
  <si>
    <t xml:space="preserve">      6025 Postage &amp; Supplies</t>
  </si>
  <si>
    <t xml:space="preserve">      6030 State Awards Expense</t>
  </si>
  <si>
    <t xml:space="preserve">      6035 State Chaplain's Expense</t>
  </si>
  <si>
    <t xml:space="preserve">      6040 State Deputy's Expense</t>
  </si>
  <si>
    <t xml:space="preserve">      6045 State Secretary's Expense</t>
  </si>
  <si>
    <t xml:space="preserve">      6050 State Officer's Expenses</t>
  </si>
  <si>
    <t xml:space="preserve">      6055 State of Utah Admin Fees</t>
  </si>
  <si>
    <t xml:space="preserve">      6060 Training</t>
  </si>
  <si>
    <t xml:space="preserve">      6065 Convocation</t>
  </si>
  <si>
    <t xml:space="preserve">   Total 6000 State Council Operating Expense</t>
  </si>
  <si>
    <t xml:space="preserve">   6200 State Convention</t>
  </si>
  <si>
    <t xml:space="preserve">      6210 Delegate Travel Expense</t>
  </si>
  <si>
    <t xml:space="preserve">      6220 General Convention Expenses</t>
  </si>
  <si>
    <t xml:space="preserve">      6230 Honorees at State Convention</t>
  </si>
  <si>
    <t xml:space="preserve">      6240 State Chaplain Convention</t>
  </si>
  <si>
    <t xml:space="preserve">      6250 State Council Officers Convention</t>
  </si>
  <si>
    <t xml:space="preserve">   Total 6200 State Convention</t>
  </si>
  <si>
    <t xml:space="preserve">   6300 State Org / Mid Year</t>
  </si>
  <si>
    <t xml:space="preserve">      6310 Delegate Mileage-Org/Mid Year</t>
  </si>
  <si>
    <t xml:space="preserve">      6320 General Mtg expense</t>
  </si>
  <si>
    <t xml:space="preserve">      6330 Meals-Org/Mid Year</t>
  </si>
  <si>
    <t xml:space="preserve">   Total 6300 State Org / Mid Year</t>
  </si>
  <si>
    <t xml:space="preserve">   6400 Supreme Convention</t>
  </si>
  <si>
    <t xml:space="preserve">      6410 Bishops Travel Exp</t>
  </si>
  <si>
    <t xml:space="preserve">      6420 Chaplain Travel Exp</t>
  </si>
  <si>
    <t xml:space="preserve">      6430 Clergy Travel Assistance</t>
  </si>
  <si>
    <t xml:space="preserve">      6440 General Supreme Convention Exp</t>
  </si>
  <si>
    <t xml:space="preserve">   Total 6400 Supreme Convention</t>
  </si>
  <si>
    <t xml:space="preserve">   6500 Youth Program Expense</t>
  </si>
  <si>
    <t xml:space="preserve">      6510 Essay Contest</t>
  </si>
  <si>
    <t xml:space="preserve">      6520 Free Throw Championship</t>
  </si>
  <si>
    <t xml:space="preserve">      6530 Poster Contest</t>
  </si>
  <si>
    <t xml:space="preserve">      6540 Soccer Challenge</t>
  </si>
  <si>
    <t xml:space="preserve">   Total 6500 Youth Program Expense</t>
  </si>
  <si>
    <t xml:space="preserve">   6600 Miscellaneous Expenses</t>
  </si>
  <si>
    <t xml:space="preserve">      6610 Catholic Advertising</t>
  </si>
  <si>
    <t xml:space="preserve">      6620 Council Development</t>
  </si>
  <si>
    <t xml:space="preserve">      6630 Ceremonial Expense</t>
  </si>
  <si>
    <t xml:space="preserve">      6640 Membership/New Member</t>
  </si>
  <si>
    <t xml:space="preserve">      6650 Technology Expenses</t>
  </si>
  <si>
    <t xml:space="preserve">      6660 Other</t>
  </si>
  <si>
    <t xml:space="preserve">      6670 State Council Planned Expenses</t>
  </si>
  <si>
    <t xml:space="preserve">      6690 Fourth Degree Promotion</t>
  </si>
  <si>
    <t xml:space="preserve">   Total 6600 Miscellaneous Expenses</t>
  </si>
  <si>
    <t xml:space="preserve">   Uncategorized Expense</t>
  </si>
  <si>
    <t>Total Expenses</t>
  </si>
  <si>
    <t>Net Operating Income</t>
  </si>
  <si>
    <t>Other Income</t>
  </si>
  <si>
    <t xml:space="preserve">   4110 Write Off of Old Checks</t>
  </si>
  <si>
    <t xml:space="preserve">   4120 Other Miscellaneous Income</t>
  </si>
  <si>
    <t>Total Other Income</t>
  </si>
  <si>
    <t>Other Expenses</t>
  </si>
  <si>
    <t xml:space="preserve">   Reconciliation Discrepancies</t>
  </si>
  <si>
    <t>Total Other Expenses</t>
  </si>
  <si>
    <t>Net Other Income</t>
  </si>
  <si>
    <t>Net Income</t>
  </si>
  <si>
    <t>Utah State Knights of Columbus</t>
  </si>
  <si>
    <t>2019-2020 Total</t>
  </si>
  <si>
    <t>2018-2019 Total</t>
  </si>
  <si>
    <t xml:space="preserve">Comparison Fiscal Years Budget vs. Actuals: P&amp;L </t>
  </si>
  <si>
    <t>Notes</t>
  </si>
  <si>
    <t>19-20 FY 45% charitable donations</t>
  </si>
  <si>
    <t>18-19 FY 47% charitable donations</t>
  </si>
  <si>
    <t>Youth Reserve Fund</t>
  </si>
  <si>
    <t>General Fund</t>
  </si>
  <si>
    <t>If needed, amount will be pulled from reserve funds and net income from previous year</t>
  </si>
  <si>
    <t>5% decrease from 2018-2019</t>
  </si>
  <si>
    <t>Per Capita Adjustment</t>
  </si>
  <si>
    <t>Thursday, Feb 25, 2021 12:47:19 PM GMT-8 - Accrual Basis</t>
  </si>
  <si>
    <t>7*40=280-SOs, 11*30=330-DDs, 100-SupRep</t>
  </si>
  <si>
    <t>ST, SA, SW, IPSD, EX</t>
  </si>
  <si>
    <t>2020-2021 Total incomplete year as of 2/25</t>
  </si>
  <si>
    <t>new nameplates, flowers, stipends, etc.</t>
  </si>
  <si>
    <t>5502, 6966?</t>
  </si>
  <si>
    <t>Stipend, and other things</t>
  </si>
  <si>
    <t>$10/head x 80attendees x 2 mtgs</t>
  </si>
  <si>
    <t>2020 - Plan - $300 from Youth reserve</t>
  </si>
  <si>
    <t>2020 - Plan - $450 from Youth reserve</t>
  </si>
  <si>
    <t>2020 - Plan - $420 from Youth reserve</t>
  </si>
  <si>
    <t>QB $645, GoTo $192</t>
  </si>
  <si>
    <t xml:space="preserve">State 98043 - #391.70 - hard to calc </t>
  </si>
  <si>
    <t>Inactive</t>
  </si>
  <si>
    <t>Inactive councils Per Capita</t>
  </si>
  <si>
    <t>20% less income than FY19-20 &amp; FY18-19. 6% less than FY20-21</t>
  </si>
  <si>
    <t>2021-2022 Budget || 2020-202 P&amp;L  || 2019-2020 P&amp;L || 2018-2019 P&amp;L</t>
  </si>
  <si>
    <t>2021-2022 Total</t>
  </si>
  <si>
    <t>24% of the budget/expenses</t>
  </si>
  <si>
    <t>Gen Fund</t>
  </si>
  <si>
    <t>As of February 25, 2021</t>
  </si>
  <si>
    <t xml:space="preserve">            2280 Youth Reserve Fund</t>
  </si>
  <si>
    <t xml:space="preserve">            2240 General Fund</t>
  </si>
  <si>
    <t>Included in line below</t>
  </si>
  <si>
    <t>8x250 (SD, SS, ST, SA, SW, IPSD, SC, EX)</t>
  </si>
  <si>
    <t>As of:</t>
  </si>
  <si>
    <t>Estimated positive balance</t>
  </si>
  <si>
    <t>Per active member credit</t>
  </si>
  <si>
    <t>"Resreve" Fund Balances</t>
  </si>
  <si>
    <t>$1600 from General Fund</t>
  </si>
  <si>
    <t>$1000 from General Fund</t>
  </si>
  <si>
    <t>$500 from General Fund if needed</t>
  </si>
  <si>
    <t>$2000 from General Fund if needed</t>
  </si>
  <si>
    <t>$450 from Youth reserve</t>
  </si>
  <si>
    <t>$300 from Youth reserve</t>
  </si>
  <si>
    <t>$400 from General Fund if needed</t>
  </si>
  <si>
    <t>$250 from General Fund if needed</t>
  </si>
  <si>
    <t>$50 from General Fund if needed</t>
  </si>
  <si>
    <t>Inactive Council</t>
  </si>
  <si>
    <t xml:space="preserve">Online Members - $0 Per Capita </t>
  </si>
  <si>
    <t>Total from Reserve Funds</t>
  </si>
  <si>
    <t>$133.10 from General Fund</t>
  </si>
  <si>
    <t>$180 from Youth reserve</t>
  </si>
  <si>
    <t>Tuesday, Apr 13, 2021 08:56:32 AM GMT-7 - Accrual Basis</t>
  </si>
  <si>
    <t>2020-2021 Total incomplete year as of 4/13</t>
  </si>
  <si>
    <t>$133.10 from Gen Fund</t>
  </si>
  <si>
    <t>Q3</t>
  </si>
  <si>
    <t>Online members transferred</t>
  </si>
  <si>
    <t>Additional transfer projection</t>
  </si>
  <si>
    <t>Total</t>
  </si>
  <si>
    <t>Active Member Incentive</t>
  </si>
  <si>
    <t>Total transfer incentive payout</t>
  </si>
  <si>
    <t>KNIGHTS OF COLUMBUS</t>
  </si>
  <si>
    <t>as of:</t>
  </si>
  <si>
    <t>Honor</t>
  </si>
  <si>
    <t>Hon Life</t>
  </si>
  <si>
    <t>Dis</t>
  </si>
  <si>
    <t>Tot Act</t>
  </si>
  <si>
    <t>Active @</t>
  </si>
  <si>
    <t>Inactive @</t>
  </si>
  <si>
    <t>Honor @</t>
  </si>
  <si>
    <t>Per</t>
  </si>
  <si>
    <t>Capita</t>
  </si>
  <si>
    <t>Per Capita - 00602</t>
  </si>
  <si>
    <t>Per Capita - 00777</t>
  </si>
  <si>
    <t>Per Capita - 01129</t>
  </si>
  <si>
    <t>Per Capita - 01136</t>
  </si>
  <si>
    <t>Per Capita - 02611</t>
  </si>
  <si>
    <t>Per Capita - 05214</t>
  </si>
  <si>
    <t>Per Capita - 05347</t>
  </si>
  <si>
    <t>Per Capita - 05502</t>
  </si>
  <si>
    <t>Per Capita - 06010</t>
  </si>
  <si>
    <t>Per Capita - 06147</t>
  </si>
  <si>
    <t>Per Capita - 06739</t>
  </si>
  <si>
    <t>Per Capita - 06966</t>
  </si>
  <si>
    <t>Per Capita - 07401</t>
  </si>
  <si>
    <t>Per Capita - 07961</t>
  </si>
  <si>
    <t>Per Capita - 08350</t>
  </si>
  <si>
    <t>Per Capita - 08606</t>
  </si>
  <si>
    <t>Per Capita - 09561</t>
  </si>
  <si>
    <t>Per Capita - 09731</t>
  </si>
  <si>
    <t>Per Capita - 09849</t>
  </si>
  <si>
    <t>Per Capita - 10304</t>
  </si>
  <si>
    <t>Per Capita - 10733</t>
  </si>
  <si>
    <t>Per Capita - 11246</t>
  </si>
  <si>
    <t>Per Capita - 11479</t>
  </si>
  <si>
    <t>Per Capita - 11812</t>
  </si>
  <si>
    <t>Per Capita - 12181</t>
  </si>
  <si>
    <t>Per Capita - 12264</t>
  </si>
  <si>
    <t>Per Capita - 12959</t>
  </si>
  <si>
    <t>Per Capita - 13297</t>
  </si>
  <si>
    <t>Per Capita - 13646</t>
  </si>
  <si>
    <t>Per Capita - 14239</t>
  </si>
  <si>
    <t>Per Capita - 14399</t>
  </si>
  <si>
    <t>Per Capita - 14764</t>
  </si>
  <si>
    <t>Per Capita - 15418</t>
  </si>
  <si>
    <t>Per Capita - 15741</t>
  </si>
  <si>
    <t>Per Capita - 16006</t>
  </si>
  <si>
    <t>Per Capita - 16127</t>
  </si>
  <si>
    <t>Per Capita - 17140</t>
  </si>
  <si>
    <t>Per Capita - 98043</t>
  </si>
  <si>
    <t>Projected Growth</t>
  </si>
  <si>
    <t>Totals</t>
  </si>
  <si>
    <t>20-21 credit</t>
  </si>
  <si>
    <t>Per Capita</t>
  </si>
  <si>
    <t>After Credit</t>
  </si>
  <si>
    <t>21-22</t>
  </si>
  <si>
    <t>Proposed</t>
  </si>
  <si>
    <t>Active members (2314 active-49 online)</t>
  </si>
  <si>
    <t>23% of the budget/expenses</t>
  </si>
  <si>
    <t>2021-2022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</si>
</sst>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12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4" fontId="3" fillId="0" borderId="0" xfId="0" applyNumberFormat="1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horizontal="right" wrapText="1"/>
    </xf>
    <xf numFmtId="10" fontId="3" fillId="0" borderId="3" xfId="0" applyNumberFormat="1" applyFont="1" applyBorder="1" applyAlignment="1">
      <alignment horizontal="right" wrapText="1"/>
    </xf>
    <xf numFmtId="10" fontId="2" fillId="0" borderId="5" xfId="0" applyNumberFormat="1" applyFont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0" fillId="0" borderId="0" xfId="0" applyFont="1"/>
    <xf numFmtId="2" fontId="0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right" wrapText="1"/>
    </xf>
    <xf numFmtId="165" fontId="2" fillId="0" borderId="5" xfId="0" applyNumberFormat="1" applyFont="1" applyBorder="1" applyAlignment="1">
      <alignment horizontal="right" wrapText="1"/>
    </xf>
    <xf numFmtId="44" fontId="0" fillId="0" borderId="0" xfId="0" applyNumberFormat="1"/>
    <xf numFmtId="9" fontId="0" fillId="0" borderId="0" xfId="1" applyFont="1"/>
    <xf numFmtId="0" fontId="3" fillId="0" borderId="0" xfId="0" applyFont="1" applyAlignment="1"/>
    <xf numFmtId="0" fontId="1" fillId="0" borderId="6" xfId="0" applyFont="1" applyBorder="1" applyAlignment="1">
      <alignment horizontal="center" wrapText="1"/>
    </xf>
    <xf numFmtId="164" fontId="3" fillId="0" borderId="7" xfId="0" applyNumberFormat="1" applyFont="1" applyBorder="1" applyAlignment="1">
      <alignment wrapText="1"/>
    </xf>
    <xf numFmtId="164" fontId="3" fillId="0" borderId="7" xfId="0" applyNumberFormat="1" applyFont="1" applyBorder="1" applyAlignment="1">
      <alignment horizontal="right" wrapText="1"/>
    </xf>
    <xf numFmtId="165" fontId="2" fillId="0" borderId="8" xfId="0" applyNumberFormat="1" applyFont="1" applyBorder="1" applyAlignment="1">
      <alignment horizontal="right" wrapText="1"/>
    </xf>
    <xf numFmtId="0" fontId="0" fillId="0" borderId="7" xfId="0" applyBorder="1"/>
    <xf numFmtId="0" fontId="0" fillId="0" borderId="0" xfId="0" applyBorder="1"/>
    <xf numFmtId="0" fontId="0" fillId="0" borderId="3" xfId="0" applyBorder="1"/>
    <xf numFmtId="0" fontId="11" fillId="2" borderId="0" xfId="0" applyFont="1" applyFill="1" applyAlignment="1">
      <alignment horizontal="left" wrapText="1"/>
    </xf>
    <xf numFmtId="4" fontId="0" fillId="0" borderId="0" xfId="0" applyNumberFormat="1"/>
    <xf numFmtId="2" fontId="7" fillId="0" borderId="1" xfId="0" applyNumberFormat="1" applyFont="1" applyBorder="1" applyAlignment="1">
      <alignment horizontal="center" wrapText="1"/>
    </xf>
    <xf numFmtId="2" fontId="11" fillId="0" borderId="0" xfId="0" applyNumberFormat="1" applyFont="1" applyBorder="1" applyAlignment="1">
      <alignment horizontal="right" wrapText="1"/>
    </xf>
    <xf numFmtId="165" fontId="2" fillId="0" borderId="0" xfId="0" applyNumberFormat="1" applyFont="1" applyBorder="1" applyAlignment="1">
      <alignment horizontal="right" wrapText="1"/>
    </xf>
    <xf numFmtId="10" fontId="11" fillId="0" borderId="0" xfId="1" applyNumberFormat="1" applyFont="1" applyBorder="1" applyAlignment="1">
      <alignment horizontal="right" wrapText="1"/>
    </xf>
    <xf numFmtId="10" fontId="3" fillId="0" borderId="0" xfId="1" applyNumberFormat="1" applyFont="1" applyBorder="1" applyAlignment="1">
      <alignment horizontal="right" wrapText="1"/>
    </xf>
    <xf numFmtId="10" fontId="3" fillId="0" borderId="0" xfId="1" applyNumberFormat="1" applyFont="1" applyBorder="1" applyAlignment="1">
      <alignment wrapText="1"/>
    </xf>
    <xf numFmtId="10" fontId="2" fillId="0" borderId="2" xfId="1" applyNumberFormat="1" applyFont="1" applyBorder="1" applyAlignment="1">
      <alignment horizontal="right" wrapText="1"/>
    </xf>
    <xf numFmtId="10" fontId="2" fillId="0" borderId="0" xfId="1" applyNumberFormat="1" applyFont="1" applyBorder="1" applyAlignment="1">
      <alignment horizontal="right" wrapText="1"/>
    </xf>
    <xf numFmtId="10" fontId="0" fillId="0" borderId="0" xfId="1" applyNumberFormat="1" applyFont="1" applyAlignment="1">
      <alignment horizontal="right"/>
    </xf>
    <xf numFmtId="164" fontId="3" fillId="0" borderId="5" xfId="0" applyNumberFormat="1" applyFont="1" applyBorder="1" applyAlignment="1">
      <alignment wrapText="1"/>
    </xf>
    <xf numFmtId="10" fontId="1" fillId="0" borderId="1" xfId="1" applyNumberFormat="1" applyFont="1" applyBorder="1" applyAlignment="1">
      <alignment horizontal="center" wrapText="1"/>
    </xf>
    <xf numFmtId="164" fontId="11" fillId="0" borderId="0" xfId="0" applyNumberFormat="1" applyFont="1" applyAlignment="1">
      <alignment horizontal="right" wrapText="1"/>
    </xf>
    <xf numFmtId="10" fontId="11" fillId="0" borderId="0" xfId="0" applyNumberFormat="1" applyFont="1" applyAlignment="1">
      <alignment horizontal="right" wrapText="1"/>
    </xf>
    <xf numFmtId="164" fontId="11" fillId="0" borderId="0" xfId="0" applyNumberFormat="1" applyFont="1" applyAlignment="1">
      <alignment wrapText="1"/>
    </xf>
    <xf numFmtId="165" fontId="10" fillId="0" borderId="2" xfId="0" applyNumberFormat="1" applyFont="1" applyBorder="1" applyAlignment="1">
      <alignment horizontal="right" wrapText="1"/>
    </xf>
    <xf numFmtId="10" fontId="10" fillId="0" borderId="2" xfId="0" applyNumberFormat="1" applyFont="1" applyBorder="1" applyAlignment="1">
      <alignment horizontal="right" wrapText="1"/>
    </xf>
    <xf numFmtId="0" fontId="2" fillId="0" borderId="0" xfId="0" applyFont="1" applyFill="1" applyAlignment="1">
      <alignment horizontal="left" wrapText="1"/>
    </xf>
    <xf numFmtId="164" fontId="3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wrapText="1"/>
    </xf>
    <xf numFmtId="0" fontId="11" fillId="3" borderId="0" xfId="0" applyFont="1" applyFill="1" applyAlignment="1">
      <alignment horizontal="left" wrapText="1"/>
    </xf>
    <xf numFmtId="164" fontId="11" fillId="2" borderId="0" xfId="0" applyNumberFormat="1" applyFont="1" applyFill="1" applyAlignment="1">
      <alignment wrapText="1"/>
    </xf>
    <xf numFmtId="2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left" wrapText="1"/>
    </xf>
    <xf numFmtId="164" fontId="11" fillId="2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left" wrapText="1"/>
    </xf>
    <xf numFmtId="164" fontId="11" fillId="0" borderId="0" xfId="0" applyNumberFormat="1" applyFont="1" applyFill="1" applyAlignment="1">
      <alignment wrapText="1"/>
    </xf>
    <xf numFmtId="164" fontId="11" fillId="0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left" wrapText="1"/>
    </xf>
    <xf numFmtId="44" fontId="0" fillId="0" borderId="0" xfId="2" applyFont="1" applyAlignment="1">
      <alignment horizontal="right"/>
    </xf>
    <xf numFmtId="14" fontId="0" fillId="0" borderId="0" xfId="0" applyNumberFormat="1"/>
    <xf numFmtId="8" fontId="0" fillId="0" borderId="0" xfId="0" applyNumberFormat="1"/>
    <xf numFmtId="165" fontId="2" fillId="4" borderId="2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8" fontId="0" fillId="3" borderId="0" xfId="0" applyNumberForma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164" fontId="11" fillId="0" borderId="7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center" wrapText="1"/>
    </xf>
    <xf numFmtId="164" fontId="11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0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36.85546875" bestFit="1" customWidth="1"/>
    <col min="2" max="2" width="27.7109375" style="18" customWidth="1"/>
    <col min="3" max="5" width="13.7109375" style="19" customWidth="1"/>
    <col min="6" max="6" width="13.7109375" style="43" customWidth="1"/>
    <col min="7" max="12" width="13.7109375" customWidth="1"/>
  </cols>
  <sheetData>
    <row r="1" spans="1:12" ht="18" x14ac:dyDescent="0.25">
      <c r="A1" s="79" t="s">
        <v>106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8" x14ac:dyDescent="0.25">
      <c r="A2" s="72" t="s">
        <v>109</v>
      </c>
      <c r="B2" s="72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5">
      <c r="A3" s="73" t="s">
        <v>134</v>
      </c>
      <c r="B3" s="73"/>
      <c r="C3" s="80"/>
      <c r="D3" s="80"/>
      <c r="E3" s="80"/>
      <c r="F3" s="80"/>
      <c r="G3" s="80"/>
      <c r="H3" s="80"/>
      <c r="I3" s="80"/>
      <c r="J3" s="80"/>
      <c r="K3" s="80"/>
      <c r="L3" s="80"/>
    </row>
    <row r="5" spans="1:12" x14ac:dyDescent="0.25">
      <c r="A5" s="1"/>
      <c r="B5" s="84" t="s">
        <v>135</v>
      </c>
      <c r="C5" s="85"/>
      <c r="D5" s="86" t="s">
        <v>162</v>
      </c>
      <c r="E5" s="78"/>
      <c r="F5" s="78"/>
      <c r="G5" s="86" t="s">
        <v>107</v>
      </c>
      <c r="H5" s="78"/>
      <c r="I5" s="87"/>
      <c r="J5" s="77" t="s">
        <v>108</v>
      </c>
      <c r="K5" s="78"/>
      <c r="L5" s="78"/>
    </row>
    <row r="6" spans="1:12" x14ac:dyDescent="0.25">
      <c r="A6" s="1"/>
      <c r="B6" s="35" t="s">
        <v>110</v>
      </c>
      <c r="C6" s="20" t="s">
        <v>1</v>
      </c>
      <c r="D6" s="26" t="s">
        <v>0</v>
      </c>
      <c r="E6" s="9" t="s">
        <v>1</v>
      </c>
      <c r="F6" s="45" t="s">
        <v>2</v>
      </c>
      <c r="G6" s="26" t="s">
        <v>0</v>
      </c>
      <c r="H6" s="9" t="s">
        <v>1</v>
      </c>
      <c r="I6" s="10" t="s">
        <v>2</v>
      </c>
      <c r="J6" s="2" t="s">
        <v>0</v>
      </c>
      <c r="K6" s="2" t="s">
        <v>1</v>
      </c>
      <c r="L6" s="2" t="s">
        <v>2</v>
      </c>
    </row>
    <row r="7" spans="1:12" x14ac:dyDescent="0.25">
      <c r="A7" s="3" t="s">
        <v>3</v>
      </c>
      <c r="B7" s="17"/>
      <c r="C7" s="21"/>
      <c r="D7" s="36"/>
      <c r="E7" s="36"/>
      <c r="F7" s="38"/>
      <c r="G7" s="27"/>
      <c r="H7" s="11"/>
      <c r="I7" s="44"/>
      <c r="J7" s="4"/>
      <c r="K7" s="4"/>
      <c r="L7" s="4"/>
    </row>
    <row r="8" spans="1:12" x14ac:dyDescent="0.25">
      <c r="A8" s="3" t="s">
        <v>4</v>
      </c>
      <c r="B8" s="17" t="s">
        <v>157</v>
      </c>
      <c r="C8" s="21">
        <v>561.20000000000005</v>
      </c>
      <c r="D8" s="5">
        <f>174.5</f>
        <v>174.5</v>
      </c>
      <c r="E8" s="5">
        <f>174.5</f>
        <v>174.5</v>
      </c>
      <c r="F8" s="47">
        <f t="shared" ref="F8:F46" si="0">IF(E8=0,"",(D8)/(E8))</f>
        <v>1</v>
      </c>
      <c r="G8" s="28">
        <v>135.6</v>
      </c>
      <c r="H8" s="13">
        <v>135.6</v>
      </c>
      <c r="I8" s="14">
        <f t="shared" ref="I8:I45" si="1">IF(H8=0,"",(G8)/(H8))</f>
        <v>1</v>
      </c>
      <c r="J8" s="4"/>
      <c r="K8" s="4"/>
      <c r="L8" s="6" t="str">
        <f t="shared" ref="L8:L49" si="2">IF(K8=0,"",(J8)/(K8))</f>
        <v/>
      </c>
    </row>
    <row r="9" spans="1:12" x14ac:dyDescent="0.25">
      <c r="A9" s="3" t="s">
        <v>5</v>
      </c>
      <c r="B9" s="17"/>
      <c r="C9" s="21">
        <v>856.2</v>
      </c>
      <c r="D9" s="5">
        <f>868.7</f>
        <v>868.7</v>
      </c>
      <c r="E9" s="5">
        <f>868.7</f>
        <v>868.7</v>
      </c>
      <c r="F9" s="47">
        <f t="shared" si="0"/>
        <v>1</v>
      </c>
      <c r="G9" s="28">
        <v>1140</v>
      </c>
      <c r="H9" s="13">
        <v>1140</v>
      </c>
      <c r="I9" s="14">
        <f t="shared" si="1"/>
        <v>1</v>
      </c>
      <c r="J9" s="5">
        <f>1131.2</f>
        <v>1131.2</v>
      </c>
      <c r="K9" s="5">
        <f>1131.2</f>
        <v>1131.2</v>
      </c>
      <c r="L9" s="6">
        <f t="shared" si="2"/>
        <v>1</v>
      </c>
    </row>
    <row r="10" spans="1:12" x14ac:dyDescent="0.25">
      <c r="A10" s="3" t="s">
        <v>6</v>
      </c>
      <c r="B10" s="17"/>
      <c r="C10" s="21">
        <v>520.9</v>
      </c>
      <c r="D10" s="4"/>
      <c r="E10" s="5">
        <f>606.3</f>
        <v>606.29999999999995</v>
      </c>
      <c r="F10" s="47">
        <f t="shared" si="0"/>
        <v>0</v>
      </c>
      <c r="G10" s="28">
        <v>1260.5</v>
      </c>
      <c r="H10" s="13">
        <v>1260.5</v>
      </c>
      <c r="I10" s="14">
        <f t="shared" si="1"/>
        <v>1</v>
      </c>
      <c r="J10" s="5">
        <f>1271.8</f>
        <v>1271.8</v>
      </c>
      <c r="K10" s="5">
        <f>1271.8</f>
        <v>1271.8</v>
      </c>
      <c r="L10" s="6">
        <f t="shared" si="2"/>
        <v>1</v>
      </c>
    </row>
    <row r="11" spans="1:12" x14ac:dyDescent="0.25">
      <c r="A11" s="3" t="s">
        <v>7</v>
      </c>
      <c r="B11" s="17"/>
      <c r="C11" s="21">
        <v>1186.4000000000001</v>
      </c>
      <c r="D11" s="5">
        <f>1214</f>
        <v>1214</v>
      </c>
      <c r="E11" s="5">
        <f>1214</f>
        <v>1214</v>
      </c>
      <c r="F11" s="47">
        <f t="shared" si="0"/>
        <v>1</v>
      </c>
      <c r="G11" s="28">
        <v>1354.7</v>
      </c>
      <c r="H11" s="13">
        <v>1354.7</v>
      </c>
      <c r="I11" s="14">
        <f t="shared" si="1"/>
        <v>1</v>
      </c>
      <c r="J11" s="5">
        <f>1151.3</f>
        <v>1151.3</v>
      </c>
      <c r="K11" s="5">
        <f>1151.3</f>
        <v>1151.3</v>
      </c>
      <c r="L11" s="6">
        <f t="shared" si="2"/>
        <v>1</v>
      </c>
    </row>
    <row r="12" spans="1:12" x14ac:dyDescent="0.25">
      <c r="A12" s="3" t="s">
        <v>8</v>
      </c>
      <c r="B12" s="17"/>
      <c r="C12" s="21">
        <v>596.29999999999995</v>
      </c>
      <c r="D12" s="5">
        <f>632.7</f>
        <v>632.70000000000005</v>
      </c>
      <c r="E12" s="5">
        <f>632.7</f>
        <v>632.70000000000005</v>
      </c>
      <c r="F12" s="47">
        <f t="shared" si="0"/>
        <v>1</v>
      </c>
      <c r="G12" s="28">
        <v>603.79999999999995</v>
      </c>
      <c r="H12" s="13">
        <v>603.79999999999995</v>
      </c>
      <c r="I12" s="14">
        <f t="shared" si="1"/>
        <v>1</v>
      </c>
      <c r="J12" s="5">
        <f>541</f>
        <v>541</v>
      </c>
      <c r="K12" s="5">
        <f>541</f>
        <v>541</v>
      </c>
      <c r="L12" s="6">
        <f t="shared" si="2"/>
        <v>1</v>
      </c>
    </row>
    <row r="13" spans="1:12" x14ac:dyDescent="0.25">
      <c r="A13" s="3" t="s">
        <v>9</v>
      </c>
      <c r="B13" s="17"/>
      <c r="C13" s="21">
        <v>413</v>
      </c>
      <c r="D13" s="4"/>
      <c r="E13" s="5">
        <f>433.1</f>
        <v>433.1</v>
      </c>
      <c r="F13" s="47">
        <f t="shared" si="0"/>
        <v>0</v>
      </c>
      <c r="G13" s="28">
        <v>433.1</v>
      </c>
      <c r="H13" s="13">
        <v>433.1</v>
      </c>
      <c r="I13" s="14">
        <f t="shared" si="1"/>
        <v>1</v>
      </c>
      <c r="J13" s="5">
        <f>435.6</f>
        <v>435.6</v>
      </c>
      <c r="K13" s="5">
        <f>435.6</f>
        <v>435.6</v>
      </c>
      <c r="L13" s="6">
        <f t="shared" si="2"/>
        <v>1</v>
      </c>
    </row>
    <row r="14" spans="1:12" x14ac:dyDescent="0.25">
      <c r="A14" s="3" t="s">
        <v>10</v>
      </c>
      <c r="B14" s="17"/>
      <c r="C14" s="21">
        <v>1682.4</v>
      </c>
      <c r="D14" s="5">
        <f>1664.8</f>
        <v>1664.8</v>
      </c>
      <c r="E14" s="5">
        <f>1664.8</f>
        <v>1664.8</v>
      </c>
      <c r="F14" s="47">
        <f t="shared" si="0"/>
        <v>1</v>
      </c>
      <c r="G14" s="28">
        <v>1515.4</v>
      </c>
      <c r="H14" s="13">
        <v>1515.4</v>
      </c>
      <c r="I14" s="14">
        <f t="shared" si="1"/>
        <v>1</v>
      </c>
      <c r="J14" s="5">
        <f>1515.4</f>
        <v>1515.4</v>
      </c>
      <c r="K14" s="5">
        <f>1512.9</f>
        <v>1512.9</v>
      </c>
      <c r="L14" s="6">
        <f t="shared" si="2"/>
        <v>1.0016524555489457</v>
      </c>
    </row>
    <row r="15" spans="1:12" x14ac:dyDescent="0.25">
      <c r="A15" s="3" t="s">
        <v>11</v>
      </c>
      <c r="B15" s="17"/>
      <c r="C15" s="21">
        <v>409.2</v>
      </c>
      <c r="D15" s="5">
        <f>220</f>
        <v>220</v>
      </c>
      <c r="E15" s="5">
        <f>440.6</f>
        <v>440.6</v>
      </c>
      <c r="F15" s="47">
        <f t="shared" si="0"/>
        <v>0.49931911030413073</v>
      </c>
      <c r="G15" s="28">
        <v>588.79999999999995</v>
      </c>
      <c r="H15" s="13">
        <v>588.79999999999995</v>
      </c>
      <c r="I15" s="14">
        <f t="shared" si="1"/>
        <v>1</v>
      </c>
      <c r="J15" s="5">
        <f>588.8</f>
        <v>588.79999999999995</v>
      </c>
      <c r="K15" s="5">
        <f>588.8</f>
        <v>588.79999999999995</v>
      </c>
      <c r="L15" s="6">
        <f t="shared" si="2"/>
        <v>1</v>
      </c>
    </row>
    <row r="16" spans="1:12" x14ac:dyDescent="0.25">
      <c r="A16" s="3" t="s">
        <v>12</v>
      </c>
      <c r="B16" s="17"/>
      <c r="C16" s="21">
        <v>787.2</v>
      </c>
      <c r="D16" s="5">
        <f>767.1</f>
        <v>767.1</v>
      </c>
      <c r="E16" s="5">
        <f>767.1</f>
        <v>767.1</v>
      </c>
      <c r="F16" s="47">
        <f t="shared" si="0"/>
        <v>1</v>
      </c>
      <c r="G16" s="28">
        <v>906.5</v>
      </c>
      <c r="H16" s="13">
        <v>906.5</v>
      </c>
      <c r="I16" s="14">
        <f t="shared" si="1"/>
        <v>1</v>
      </c>
      <c r="J16" s="5">
        <f>985.6</f>
        <v>985.6</v>
      </c>
      <c r="K16" s="5">
        <f>985.6</f>
        <v>985.6</v>
      </c>
      <c r="L16" s="6">
        <f t="shared" si="2"/>
        <v>1</v>
      </c>
    </row>
    <row r="17" spans="1:12" x14ac:dyDescent="0.25">
      <c r="A17" s="3" t="s">
        <v>13</v>
      </c>
      <c r="B17" s="17"/>
      <c r="C17" s="21">
        <v>587.5</v>
      </c>
      <c r="D17" s="5">
        <f>646.5</f>
        <v>646.5</v>
      </c>
      <c r="E17" s="5">
        <f>646.5</f>
        <v>646.5</v>
      </c>
      <c r="F17" s="47">
        <f t="shared" si="0"/>
        <v>1</v>
      </c>
      <c r="G17" s="28">
        <v>817.3</v>
      </c>
      <c r="H17" s="13">
        <v>817.3</v>
      </c>
      <c r="I17" s="14">
        <f t="shared" si="1"/>
        <v>1</v>
      </c>
      <c r="J17" s="5">
        <f>919</f>
        <v>919</v>
      </c>
      <c r="K17" s="5">
        <f>919</f>
        <v>919</v>
      </c>
      <c r="L17" s="6">
        <f t="shared" si="2"/>
        <v>1</v>
      </c>
    </row>
    <row r="18" spans="1:12" x14ac:dyDescent="0.25">
      <c r="A18" s="3" t="s">
        <v>14</v>
      </c>
      <c r="B18" s="17"/>
      <c r="C18" s="21">
        <v>361.5</v>
      </c>
      <c r="D18" s="5">
        <f>384.1</f>
        <v>384.1</v>
      </c>
      <c r="E18" s="5">
        <f>384.1</f>
        <v>384.1</v>
      </c>
      <c r="F18" s="47">
        <f t="shared" si="0"/>
        <v>1</v>
      </c>
      <c r="G18" s="28">
        <v>813.5</v>
      </c>
      <c r="H18" s="13">
        <v>813.5</v>
      </c>
      <c r="I18" s="14">
        <f t="shared" si="1"/>
        <v>1</v>
      </c>
      <c r="J18" s="5">
        <f>901.4</f>
        <v>901.4</v>
      </c>
      <c r="K18" s="5">
        <f>901.4</f>
        <v>901.4</v>
      </c>
      <c r="L18" s="6">
        <f t="shared" si="2"/>
        <v>1</v>
      </c>
    </row>
    <row r="19" spans="1:12" x14ac:dyDescent="0.25">
      <c r="A19" s="3" t="s">
        <v>15</v>
      </c>
      <c r="B19" s="17"/>
      <c r="C19" s="21">
        <v>541.1</v>
      </c>
      <c r="D19" s="5">
        <f>608.9</f>
        <v>608.9</v>
      </c>
      <c r="E19" s="5">
        <f>608.9</f>
        <v>608.9</v>
      </c>
      <c r="F19" s="47">
        <f t="shared" si="0"/>
        <v>1</v>
      </c>
      <c r="G19" s="28">
        <v>577.5</v>
      </c>
      <c r="H19" s="13">
        <v>577.5</v>
      </c>
      <c r="I19" s="14">
        <f t="shared" si="1"/>
        <v>1</v>
      </c>
      <c r="J19" s="5">
        <f>597.6</f>
        <v>597.6</v>
      </c>
      <c r="K19" s="5">
        <f>597.6</f>
        <v>597.6</v>
      </c>
      <c r="L19" s="6">
        <f t="shared" si="2"/>
        <v>1</v>
      </c>
    </row>
    <row r="20" spans="1:12" x14ac:dyDescent="0.25">
      <c r="A20" s="3" t="s">
        <v>16</v>
      </c>
      <c r="B20" s="17"/>
      <c r="C20" s="21">
        <v>955.3</v>
      </c>
      <c r="D20" s="5">
        <f>991.7</f>
        <v>991.7</v>
      </c>
      <c r="E20" s="5">
        <f>991.7</f>
        <v>991.7</v>
      </c>
      <c r="F20" s="47">
        <f t="shared" si="0"/>
        <v>1</v>
      </c>
      <c r="G20" s="28">
        <v>1212.7</v>
      </c>
      <c r="H20" s="13">
        <v>1212.7</v>
      </c>
      <c r="I20" s="14">
        <f t="shared" si="1"/>
        <v>1</v>
      </c>
      <c r="J20" s="5">
        <f>1278</f>
        <v>1278</v>
      </c>
      <c r="K20" s="5">
        <f>1278</f>
        <v>1278</v>
      </c>
      <c r="L20" s="6">
        <f t="shared" si="2"/>
        <v>1</v>
      </c>
    </row>
    <row r="21" spans="1:12" x14ac:dyDescent="0.25">
      <c r="A21" s="3" t="s">
        <v>17</v>
      </c>
      <c r="B21" s="17"/>
      <c r="C21" s="21">
        <v>485.9</v>
      </c>
      <c r="D21" s="5">
        <f>533.6</f>
        <v>533.6</v>
      </c>
      <c r="E21" s="5">
        <f>533.6</f>
        <v>533.6</v>
      </c>
      <c r="F21" s="47">
        <f t="shared" si="0"/>
        <v>1</v>
      </c>
      <c r="G21" s="28">
        <v>621.5</v>
      </c>
      <c r="H21" s="13">
        <v>621.5</v>
      </c>
      <c r="I21" s="14">
        <f t="shared" si="1"/>
        <v>1</v>
      </c>
      <c r="J21" s="5">
        <f>553.7</f>
        <v>553.70000000000005</v>
      </c>
      <c r="K21" s="5">
        <f>553.7</f>
        <v>553.70000000000005</v>
      </c>
      <c r="L21" s="6">
        <f t="shared" si="2"/>
        <v>1</v>
      </c>
    </row>
    <row r="22" spans="1:12" x14ac:dyDescent="0.25">
      <c r="A22" s="3" t="s">
        <v>18</v>
      </c>
      <c r="B22" s="17"/>
      <c r="C22" s="21">
        <v>701.8</v>
      </c>
      <c r="D22" s="5">
        <f>693</f>
        <v>693</v>
      </c>
      <c r="E22" s="5">
        <f>693</f>
        <v>693</v>
      </c>
      <c r="F22" s="47">
        <f t="shared" si="0"/>
        <v>1</v>
      </c>
      <c r="G22" s="28">
        <v>704.3</v>
      </c>
      <c r="H22" s="13">
        <v>704.3</v>
      </c>
      <c r="I22" s="14">
        <f t="shared" si="1"/>
        <v>1</v>
      </c>
      <c r="J22" s="5">
        <f>498.4</f>
        <v>498.4</v>
      </c>
      <c r="K22" s="5">
        <f>498.4</f>
        <v>498.4</v>
      </c>
      <c r="L22" s="6">
        <f t="shared" si="2"/>
        <v>1</v>
      </c>
    </row>
    <row r="23" spans="1:12" x14ac:dyDescent="0.25">
      <c r="A23" s="3" t="s">
        <v>19</v>
      </c>
      <c r="B23" s="17"/>
      <c r="C23" s="21">
        <v>578.70000000000005</v>
      </c>
      <c r="D23" s="4"/>
      <c r="E23" s="5">
        <f>567.4</f>
        <v>567.4</v>
      </c>
      <c r="F23" s="47">
        <f t="shared" si="0"/>
        <v>0</v>
      </c>
      <c r="G23" s="27">
        <v>1024.5</v>
      </c>
      <c r="H23" s="13">
        <v>1024.5</v>
      </c>
      <c r="I23" s="14">
        <f t="shared" si="1"/>
        <v>1</v>
      </c>
      <c r="J23" s="5">
        <f>947.9</f>
        <v>947.9</v>
      </c>
      <c r="K23" s="5">
        <f>947.9</f>
        <v>947.9</v>
      </c>
      <c r="L23" s="6">
        <f t="shared" si="2"/>
        <v>1</v>
      </c>
    </row>
    <row r="24" spans="1:12" x14ac:dyDescent="0.25">
      <c r="A24" s="3" t="s">
        <v>20</v>
      </c>
      <c r="B24" s="17"/>
      <c r="C24" s="12">
        <v>252.3</v>
      </c>
      <c r="D24" s="5">
        <f>263.6</f>
        <v>263.60000000000002</v>
      </c>
      <c r="E24" s="5">
        <f>263.6</f>
        <v>263.60000000000002</v>
      </c>
      <c r="F24" s="47">
        <f t="shared" si="0"/>
        <v>1</v>
      </c>
      <c r="G24" s="28">
        <v>286.2</v>
      </c>
      <c r="H24" s="13">
        <v>286.2</v>
      </c>
      <c r="I24" s="14">
        <f t="shared" si="1"/>
        <v>1</v>
      </c>
      <c r="J24" s="5">
        <f>430.6</f>
        <v>430.6</v>
      </c>
      <c r="K24" s="5">
        <f>430.6</f>
        <v>430.6</v>
      </c>
      <c r="L24" s="6">
        <f t="shared" si="2"/>
        <v>1</v>
      </c>
    </row>
    <row r="25" spans="1:12" x14ac:dyDescent="0.25">
      <c r="A25" s="3" t="s">
        <v>21</v>
      </c>
      <c r="B25" s="17"/>
      <c r="C25" s="21">
        <v>337.7</v>
      </c>
      <c r="D25" s="5">
        <f>351.5</f>
        <v>351.5</v>
      </c>
      <c r="E25" s="5">
        <f>351.5</f>
        <v>351.5</v>
      </c>
      <c r="F25" s="47">
        <f t="shared" si="0"/>
        <v>1</v>
      </c>
      <c r="G25" s="28">
        <v>351.5</v>
      </c>
      <c r="H25" s="13">
        <v>351.5</v>
      </c>
      <c r="I25" s="14">
        <f t="shared" si="1"/>
        <v>1</v>
      </c>
      <c r="J25" s="5">
        <f>408</f>
        <v>408</v>
      </c>
      <c r="K25" s="5">
        <f>408</f>
        <v>408</v>
      </c>
      <c r="L25" s="6">
        <f t="shared" si="2"/>
        <v>1</v>
      </c>
    </row>
    <row r="26" spans="1:12" x14ac:dyDescent="0.25">
      <c r="A26" s="3" t="s">
        <v>22</v>
      </c>
      <c r="B26" s="17"/>
      <c r="C26" s="21">
        <v>891.4</v>
      </c>
      <c r="D26" s="5">
        <f>873.8</f>
        <v>873.8</v>
      </c>
      <c r="E26" s="5">
        <f>873.8</f>
        <v>873.8</v>
      </c>
      <c r="F26" s="47">
        <f t="shared" si="0"/>
        <v>1</v>
      </c>
      <c r="G26" s="28">
        <v>860</v>
      </c>
      <c r="H26" s="13">
        <v>860</v>
      </c>
      <c r="I26" s="14">
        <f t="shared" si="1"/>
        <v>1</v>
      </c>
      <c r="J26" s="5">
        <f>905.2</f>
        <v>905.2</v>
      </c>
      <c r="K26" s="5">
        <f>905.2</f>
        <v>905.2</v>
      </c>
      <c r="L26" s="6">
        <f t="shared" si="2"/>
        <v>1</v>
      </c>
    </row>
    <row r="27" spans="1:12" x14ac:dyDescent="0.25">
      <c r="A27" s="3" t="s">
        <v>23</v>
      </c>
      <c r="B27" s="17"/>
      <c r="C27" s="21">
        <v>946.6</v>
      </c>
      <c r="D27" s="5">
        <f>1204</f>
        <v>1204</v>
      </c>
      <c r="E27" s="5">
        <f>1204</f>
        <v>1204</v>
      </c>
      <c r="F27" s="47">
        <f t="shared" si="0"/>
        <v>1</v>
      </c>
      <c r="G27" s="28">
        <v>1373.5</v>
      </c>
      <c r="H27" s="13">
        <v>1373.5</v>
      </c>
      <c r="I27" s="14">
        <f t="shared" si="1"/>
        <v>1</v>
      </c>
      <c r="J27" s="5">
        <f>1367.2</f>
        <v>1367.2</v>
      </c>
      <c r="K27" s="5">
        <f>1367.2</f>
        <v>1367.2</v>
      </c>
      <c r="L27" s="6">
        <f t="shared" si="2"/>
        <v>1</v>
      </c>
    </row>
    <row r="28" spans="1:12" x14ac:dyDescent="0.25">
      <c r="A28" s="3" t="s">
        <v>24</v>
      </c>
      <c r="B28" s="17"/>
      <c r="C28" s="21">
        <v>694.2</v>
      </c>
      <c r="D28" s="5">
        <f>719.3</f>
        <v>719.3</v>
      </c>
      <c r="E28" s="5">
        <f>719.3</f>
        <v>719.3</v>
      </c>
      <c r="F28" s="47">
        <f t="shared" si="0"/>
        <v>1</v>
      </c>
      <c r="G28" s="28">
        <v>753.2</v>
      </c>
      <c r="H28" s="13">
        <v>753.2</v>
      </c>
      <c r="I28" s="14">
        <f t="shared" si="1"/>
        <v>1</v>
      </c>
      <c r="J28" s="5">
        <f>847.4</f>
        <v>847.4</v>
      </c>
      <c r="K28" s="5">
        <f>847.4</f>
        <v>847.4</v>
      </c>
      <c r="L28" s="6">
        <f t="shared" si="2"/>
        <v>1</v>
      </c>
    </row>
    <row r="29" spans="1:12" x14ac:dyDescent="0.25">
      <c r="A29" s="3" t="s">
        <v>25</v>
      </c>
      <c r="B29" s="17"/>
      <c r="C29" s="21">
        <v>1571.9</v>
      </c>
      <c r="D29" s="5">
        <f>1673.6</f>
        <v>1673.6</v>
      </c>
      <c r="E29" s="5">
        <f>1673.6</f>
        <v>1673.6</v>
      </c>
      <c r="F29" s="47">
        <f t="shared" si="0"/>
        <v>1</v>
      </c>
      <c r="G29" s="28">
        <v>1870.7</v>
      </c>
      <c r="H29" s="13">
        <v>1870.7</v>
      </c>
      <c r="I29" s="14">
        <f t="shared" si="1"/>
        <v>1</v>
      </c>
      <c r="J29" s="5">
        <f>2035.2</f>
        <v>2035.2</v>
      </c>
      <c r="K29" s="5">
        <f>2035.2</f>
        <v>2035.2</v>
      </c>
      <c r="L29" s="6">
        <f t="shared" si="2"/>
        <v>1</v>
      </c>
    </row>
    <row r="30" spans="1:12" x14ac:dyDescent="0.25">
      <c r="A30" s="3" t="s">
        <v>26</v>
      </c>
      <c r="B30" s="17"/>
      <c r="C30" s="21">
        <v>754.5</v>
      </c>
      <c r="D30" s="5">
        <f>861.2</f>
        <v>861.2</v>
      </c>
      <c r="E30" s="5">
        <f>861.2</f>
        <v>861.2</v>
      </c>
      <c r="F30" s="47">
        <f t="shared" si="0"/>
        <v>1</v>
      </c>
      <c r="G30" s="28">
        <v>1011.9</v>
      </c>
      <c r="H30" s="13">
        <v>1011.9</v>
      </c>
      <c r="I30" s="14">
        <f t="shared" si="1"/>
        <v>1</v>
      </c>
      <c r="J30" s="5">
        <f>941.6</f>
        <v>941.6</v>
      </c>
      <c r="K30" s="5">
        <f>941.6</f>
        <v>941.6</v>
      </c>
      <c r="L30" s="6">
        <f t="shared" si="2"/>
        <v>1</v>
      </c>
    </row>
    <row r="31" spans="1:12" x14ac:dyDescent="0.25">
      <c r="A31" s="3" t="s">
        <v>27</v>
      </c>
      <c r="B31" s="17"/>
      <c r="C31" s="21">
        <v>1322</v>
      </c>
      <c r="D31" s="5">
        <f>1489</f>
        <v>1489</v>
      </c>
      <c r="E31" s="5">
        <f>1489</f>
        <v>1489</v>
      </c>
      <c r="F31" s="47">
        <f t="shared" si="0"/>
        <v>1</v>
      </c>
      <c r="G31" s="28">
        <v>1777.8</v>
      </c>
      <c r="H31" s="13">
        <v>1777.8</v>
      </c>
      <c r="I31" s="14">
        <f t="shared" si="1"/>
        <v>1</v>
      </c>
      <c r="J31" s="5">
        <f>1924.7</f>
        <v>1924.7</v>
      </c>
      <c r="K31" s="5">
        <f>1924.7</f>
        <v>1924.7</v>
      </c>
      <c r="L31" s="6">
        <f t="shared" si="2"/>
        <v>1</v>
      </c>
    </row>
    <row r="32" spans="1:12" x14ac:dyDescent="0.25">
      <c r="A32" s="3" t="s">
        <v>28</v>
      </c>
      <c r="B32" s="17" t="s">
        <v>156</v>
      </c>
      <c r="C32" s="21">
        <v>40.1</v>
      </c>
      <c r="D32" s="4"/>
      <c r="E32" s="5">
        <f>42.6</f>
        <v>42.6</v>
      </c>
      <c r="F32" s="47">
        <f t="shared" si="0"/>
        <v>0</v>
      </c>
      <c r="G32" s="27"/>
      <c r="H32" s="13">
        <v>700.6</v>
      </c>
      <c r="I32" s="14">
        <f t="shared" si="1"/>
        <v>0</v>
      </c>
      <c r="J32" s="4"/>
      <c r="K32" s="5">
        <f>700.6</f>
        <v>700.6</v>
      </c>
      <c r="L32" s="6">
        <f t="shared" si="2"/>
        <v>0</v>
      </c>
    </row>
    <row r="33" spans="1:16" x14ac:dyDescent="0.25">
      <c r="A33" s="3" t="s">
        <v>29</v>
      </c>
      <c r="B33" s="17"/>
      <c r="C33" s="12">
        <v>2464.4</v>
      </c>
      <c r="D33" s="5">
        <f>2595</f>
        <v>2595</v>
      </c>
      <c r="E33" s="5">
        <f>2595</f>
        <v>2595</v>
      </c>
      <c r="F33" s="47">
        <f t="shared" si="0"/>
        <v>1</v>
      </c>
      <c r="G33" s="28">
        <v>2736.9</v>
      </c>
      <c r="H33" s="13">
        <v>2736.9</v>
      </c>
      <c r="I33" s="14">
        <f t="shared" si="1"/>
        <v>1</v>
      </c>
      <c r="J33" s="5">
        <f>3000.6</f>
        <v>3000.6</v>
      </c>
      <c r="K33" s="5">
        <f>3000.6</f>
        <v>3000.6</v>
      </c>
      <c r="L33" s="6">
        <f t="shared" si="2"/>
        <v>1</v>
      </c>
    </row>
    <row r="34" spans="1:16" x14ac:dyDescent="0.25">
      <c r="A34" s="3" t="s">
        <v>30</v>
      </c>
      <c r="B34" s="17"/>
      <c r="C34" s="21">
        <v>440.7</v>
      </c>
      <c r="D34" s="5">
        <f>440.7</f>
        <v>440.7</v>
      </c>
      <c r="E34" s="5">
        <f>440.7</f>
        <v>440.7</v>
      </c>
      <c r="F34" s="47">
        <f t="shared" si="0"/>
        <v>1</v>
      </c>
      <c r="G34" s="28">
        <v>406.8</v>
      </c>
      <c r="H34" s="13">
        <v>406.8</v>
      </c>
      <c r="I34" s="14">
        <f t="shared" si="1"/>
        <v>1</v>
      </c>
      <c r="J34" s="5">
        <f>406.8</f>
        <v>406.8</v>
      </c>
      <c r="K34" s="5">
        <f>406.8</f>
        <v>406.8</v>
      </c>
      <c r="L34" s="6">
        <f t="shared" si="2"/>
        <v>1</v>
      </c>
    </row>
    <row r="35" spans="1:16" x14ac:dyDescent="0.25">
      <c r="A35" s="3" t="s">
        <v>31</v>
      </c>
      <c r="B35" s="17"/>
      <c r="C35" s="21">
        <v>716.9</v>
      </c>
      <c r="D35" s="5">
        <f>705.6</f>
        <v>705.6</v>
      </c>
      <c r="E35" s="5">
        <f>705.6</f>
        <v>705.6</v>
      </c>
      <c r="F35" s="47">
        <f t="shared" si="0"/>
        <v>1</v>
      </c>
      <c r="G35" s="28">
        <v>671.7</v>
      </c>
      <c r="H35" s="13">
        <v>671.7</v>
      </c>
      <c r="I35" s="14">
        <f t="shared" si="1"/>
        <v>1</v>
      </c>
      <c r="J35" s="5">
        <f>782.2</f>
        <v>782.2</v>
      </c>
      <c r="K35" s="5">
        <f>782.2</f>
        <v>782.2</v>
      </c>
      <c r="L35" s="6">
        <f t="shared" si="2"/>
        <v>1</v>
      </c>
    </row>
    <row r="36" spans="1:16" x14ac:dyDescent="0.25">
      <c r="A36" s="3" t="s">
        <v>32</v>
      </c>
      <c r="B36" s="17"/>
      <c r="C36" s="21">
        <v>635.29999999999995</v>
      </c>
      <c r="D36" s="5">
        <f>667.9</f>
        <v>667.9</v>
      </c>
      <c r="E36" s="5">
        <f>667.9</f>
        <v>667.9</v>
      </c>
      <c r="F36" s="47">
        <f t="shared" si="0"/>
        <v>1</v>
      </c>
      <c r="G36" s="28">
        <v>1073.5</v>
      </c>
      <c r="H36" s="13">
        <v>1073.5</v>
      </c>
      <c r="I36" s="14">
        <f t="shared" si="1"/>
        <v>1</v>
      </c>
      <c r="J36" s="5">
        <f>1084.8</f>
        <v>1084.8</v>
      </c>
      <c r="K36" s="5">
        <f>1084.8</f>
        <v>1084.8</v>
      </c>
      <c r="L36" s="6">
        <f t="shared" si="2"/>
        <v>1</v>
      </c>
    </row>
    <row r="37" spans="1:16" x14ac:dyDescent="0.25">
      <c r="A37" s="3" t="s">
        <v>33</v>
      </c>
      <c r="B37" s="17"/>
      <c r="C37" s="21">
        <v>374.1</v>
      </c>
      <c r="D37" s="5">
        <f>385.4</f>
        <v>385.4</v>
      </c>
      <c r="E37" s="5">
        <f>385.4</f>
        <v>385.4</v>
      </c>
      <c r="F37" s="47">
        <f t="shared" si="0"/>
        <v>1</v>
      </c>
      <c r="G37" s="28">
        <v>711.9</v>
      </c>
      <c r="H37" s="13">
        <v>711.9</v>
      </c>
      <c r="I37" s="14">
        <f t="shared" si="1"/>
        <v>1</v>
      </c>
      <c r="J37" s="5">
        <f>678</f>
        <v>678</v>
      </c>
      <c r="K37" s="5">
        <f>678</f>
        <v>678</v>
      </c>
      <c r="L37" s="6">
        <f t="shared" si="2"/>
        <v>1</v>
      </c>
    </row>
    <row r="38" spans="1:16" x14ac:dyDescent="0.25">
      <c r="A38" s="3" t="s">
        <v>34</v>
      </c>
      <c r="B38" s="17"/>
      <c r="C38" s="21">
        <v>312.60000000000002</v>
      </c>
      <c r="D38" s="5">
        <f>301.3</f>
        <v>301.3</v>
      </c>
      <c r="E38" s="5">
        <f>301.3</f>
        <v>301.3</v>
      </c>
      <c r="F38" s="47">
        <f t="shared" si="0"/>
        <v>1</v>
      </c>
      <c r="G38" s="28">
        <v>533.6</v>
      </c>
      <c r="H38" s="13">
        <v>533.6</v>
      </c>
      <c r="I38" s="14">
        <f t="shared" si="1"/>
        <v>1</v>
      </c>
      <c r="J38" s="5">
        <f>522.3</f>
        <v>522.29999999999995</v>
      </c>
      <c r="K38" s="5">
        <f>522.3</f>
        <v>522.29999999999995</v>
      </c>
      <c r="L38" s="6">
        <f t="shared" si="2"/>
        <v>1</v>
      </c>
    </row>
    <row r="39" spans="1:16" x14ac:dyDescent="0.25">
      <c r="A39" s="3" t="s">
        <v>35</v>
      </c>
      <c r="B39" s="17"/>
      <c r="C39" s="21">
        <v>862.5</v>
      </c>
      <c r="D39" s="5">
        <f>984.3</f>
        <v>984.3</v>
      </c>
      <c r="E39" s="5">
        <f>984.3</f>
        <v>984.3</v>
      </c>
      <c r="F39" s="47">
        <f t="shared" si="0"/>
        <v>1</v>
      </c>
      <c r="G39" s="28">
        <v>1067.2</v>
      </c>
      <c r="H39" s="13">
        <v>1067.2</v>
      </c>
      <c r="I39" s="14">
        <f t="shared" si="1"/>
        <v>1</v>
      </c>
      <c r="J39" s="5">
        <f>983.1</f>
        <v>983.1</v>
      </c>
      <c r="K39" s="5">
        <f>983.1</f>
        <v>983.1</v>
      </c>
      <c r="L39" s="6">
        <f t="shared" si="2"/>
        <v>1</v>
      </c>
    </row>
    <row r="40" spans="1:16" x14ac:dyDescent="0.25">
      <c r="A40" s="3" t="s">
        <v>36</v>
      </c>
      <c r="B40" s="17"/>
      <c r="C40" s="21">
        <v>450.7</v>
      </c>
      <c r="D40" s="5">
        <f>513.5</f>
        <v>513.5</v>
      </c>
      <c r="E40" s="5">
        <f>513.5</f>
        <v>513.5</v>
      </c>
      <c r="F40" s="47">
        <f t="shared" si="0"/>
        <v>1</v>
      </c>
      <c r="G40" s="28">
        <v>502.2</v>
      </c>
      <c r="H40" s="13">
        <v>502.2</v>
      </c>
      <c r="I40" s="14">
        <f t="shared" si="1"/>
        <v>1</v>
      </c>
      <c r="J40" s="5">
        <f>536.1</f>
        <v>536.1</v>
      </c>
      <c r="K40" s="5">
        <f>536.1</f>
        <v>536.1</v>
      </c>
      <c r="L40" s="6">
        <f t="shared" si="2"/>
        <v>1</v>
      </c>
    </row>
    <row r="41" spans="1:16" x14ac:dyDescent="0.25">
      <c r="A41" s="3" t="s">
        <v>37</v>
      </c>
      <c r="B41" s="17"/>
      <c r="C41" s="21">
        <v>974.3</v>
      </c>
      <c r="D41" s="5">
        <f>963</f>
        <v>963</v>
      </c>
      <c r="E41" s="5">
        <f>963</f>
        <v>963</v>
      </c>
      <c r="F41" s="47">
        <f t="shared" si="0"/>
        <v>1</v>
      </c>
      <c r="G41" s="28">
        <v>960.5</v>
      </c>
      <c r="H41" s="13">
        <v>960.5</v>
      </c>
      <c r="I41" s="14">
        <f t="shared" si="1"/>
        <v>1</v>
      </c>
      <c r="J41" s="5">
        <f>915.3</f>
        <v>915.3</v>
      </c>
      <c r="K41" s="5">
        <f>915.3</f>
        <v>915.3</v>
      </c>
      <c r="L41" s="6">
        <f t="shared" si="2"/>
        <v>1</v>
      </c>
    </row>
    <row r="42" spans="1:16" x14ac:dyDescent="0.25">
      <c r="A42" s="3" t="s">
        <v>38</v>
      </c>
      <c r="B42" s="17" t="s">
        <v>156</v>
      </c>
      <c r="C42" s="21">
        <v>242.3</v>
      </c>
      <c r="D42" s="4"/>
      <c r="E42" s="5">
        <f>242.3</f>
        <v>242.3</v>
      </c>
      <c r="F42" s="47">
        <f t="shared" si="0"/>
        <v>0</v>
      </c>
      <c r="G42" s="27"/>
      <c r="H42" s="13">
        <v>418.1</v>
      </c>
      <c r="I42" s="14">
        <f t="shared" si="1"/>
        <v>0</v>
      </c>
      <c r="J42" s="4"/>
      <c r="K42" s="5">
        <f>372.9</f>
        <v>372.9</v>
      </c>
      <c r="L42" s="6">
        <f t="shared" si="2"/>
        <v>0</v>
      </c>
    </row>
    <row r="43" spans="1:16" x14ac:dyDescent="0.25">
      <c r="A43" s="3" t="s">
        <v>39</v>
      </c>
      <c r="B43" s="17" t="s">
        <v>156</v>
      </c>
      <c r="C43" s="12">
        <v>332.7</v>
      </c>
      <c r="D43" s="4"/>
      <c r="E43" s="5">
        <f>332.7</f>
        <v>332.7</v>
      </c>
      <c r="F43" s="47">
        <f t="shared" si="0"/>
        <v>0</v>
      </c>
      <c r="G43" s="27"/>
      <c r="H43" s="13">
        <v>463.3</v>
      </c>
      <c r="I43" s="14">
        <f t="shared" si="1"/>
        <v>0</v>
      </c>
      <c r="J43" s="4"/>
      <c r="K43" s="5">
        <f>485.9</f>
        <v>485.9</v>
      </c>
      <c r="L43" s="6">
        <f t="shared" si="2"/>
        <v>0</v>
      </c>
    </row>
    <row r="44" spans="1:16" x14ac:dyDescent="0.25">
      <c r="A44" s="3" t="s">
        <v>40</v>
      </c>
      <c r="B44" s="17"/>
      <c r="C44" s="12">
        <v>620.20000000000005</v>
      </c>
      <c r="D44" s="5">
        <f>620.2</f>
        <v>620.20000000000005</v>
      </c>
      <c r="E44" s="5">
        <f>620.2</f>
        <v>620.20000000000005</v>
      </c>
      <c r="F44" s="47">
        <f t="shared" si="0"/>
        <v>1</v>
      </c>
      <c r="G44" s="28">
        <v>940.4</v>
      </c>
      <c r="H44" s="13">
        <v>940.4</v>
      </c>
      <c r="I44" s="14">
        <f t="shared" si="1"/>
        <v>1</v>
      </c>
      <c r="J44" s="5">
        <f>861.3</f>
        <v>861.3</v>
      </c>
      <c r="K44" s="5">
        <f>861.3</f>
        <v>861.3</v>
      </c>
      <c r="L44" s="6">
        <f t="shared" si="2"/>
        <v>1</v>
      </c>
    </row>
    <row r="45" spans="1:16" x14ac:dyDescent="0.25">
      <c r="A45" s="3" t="s">
        <v>41</v>
      </c>
      <c r="B45" s="17"/>
      <c r="C45" s="21">
        <v>271.2</v>
      </c>
      <c r="D45" s="4"/>
      <c r="E45" s="5">
        <f>259.9</f>
        <v>259.89999999999998</v>
      </c>
      <c r="F45" s="47">
        <f t="shared" si="0"/>
        <v>0</v>
      </c>
      <c r="G45" s="28">
        <v>226</v>
      </c>
      <c r="H45" s="13">
        <v>226</v>
      </c>
      <c r="I45" s="14">
        <f t="shared" si="1"/>
        <v>1</v>
      </c>
      <c r="J45" s="4"/>
      <c r="K45" s="4"/>
      <c r="L45" s="6" t="str">
        <f t="shared" si="2"/>
        <v/>
      </c>
    </row>
    <row r="46" spans="1:16" x14ac:dyDescent="0.25">
      <c r="A46" s="3" t="s">
        <v>42</v>
      </c>
      <c r="B46" s="17"/>
      <c r="C46" s="22">
        <f>SUM(C8:C45)</f>
        <v>26733.199999999997</v>
      </c>
      <c r="D46" s="49">
        <f>(((((((((((((((((((((((((((((((((((((D8)+(D9))+(D10))+(D11))+(D12))+(D13))+(D14))+(D15))+(D16))+(D17))+(D18))+(D19))+(D20))+(D21))+(D22))+(D23))+(D24))+(D25))+(D26))+(D27))+(D28))+(D29))+(D30))+(D31))+(D32))+(D33))+(D34))+(D35))+(D36))+(D37))+(D38))+(D39))+(D40))+(D41))+(D42))+(D43))+(D44))+(D45)</f>
        <v>25012.5</v>
      </c>
      <c r="E46" s="49">
        <f>(((((((((((((((((((((((((((((((((((((E8)+(E9))+(E10))+(E11))+(E12))+(E13))+(E14))+(E15))+(E16))+(E17))+(E18))+(E19))+(E20))+(E21))+(E22))+(E23))+(E24))+(E25))+(E26))+(E27))+(E28))+(E29))+(E30))+(E31))+(E32))+(E33))+(E34))+(E35))+(E36))+(E37))+(E38))+(E39))+(E40))+(E41))+(E42))+(E43))+(E44))+(E45)</f>
        <v>27717.4</v>
      </c>
      <c r="F46" s="50">
        <f t="shared" si="0"/>
        <v>0.90241148159639784</v>
      </c>
      <c r="G46" s="29">
        <f>(((((((((((((((((((((((((((((((((((((G8)+(G9))+(G10))+(G11))+(G12))+(G13))+(G14))+(G15))+(G16))+(G17))+(G18))+(G19))+(G20))+(G21))+(G22))+(G23))+(G24))+(G25))+(G26))+(G27))+(G28))+(G29))+(G30))+(G31))+(G32))+(G33))+(G34))+(G35))+(G36))+(G37))+(G38))+(G39))+(G40))+(G41))+(G42))+(G43))+(G44))+(G45)</f>
        <v>31825.200000000008</v>
      </c>
      <c r="H46" s="7">
        <f>(((((((((((((((((((((((((((((((((((((H8)+(H9))+(H10))+(H11))+(H12))+(H13))+(H14))+(H15))+(H16))+(H17))+(H18))+(H19))+(H20))+(H21))+(H22))+(H23))+(H24))+(H25))+(H26))+(H27))+(H28))+(H29))+(H30))+(H31))+(H32))+(H33))+(H34))+(H35))+(H36))+(H37))+(H38))+(H39))+(H40))+(H41))+(H42))+(H43))+(H44))+(H45)</f>
        <v>33407.200000000004</v>
      </c>
      <c r="I46" s="15">
        <f t="shared" ref="I46:I51" si="3">IF(H46=0,"",(G46)/(H46))</f>
        <v>0.95264493881558476</v>
      </c>
      <c r="J46" s="7">
        <f>(((((((((((((((((((((((((((((((((((((J8)+(J9))+(J10))+(J11))+(J12))+(J13))+(J14))+(J15))+(J16))+(J17))+(J18))+(J19))+(J20))+(J21))+(J22))+(J23))+(J24))+(J25))+(J26))+(J27))+(J28))+(J29))+(J30))+(J31))+(J32))+(J33))+(J34))+(J35))+(J36))+(J37))+(J38))+(J39))+(J40))+(J41))+(J42))+(J43))+(J44))+(J45)</f>
        <v>31947.099999999995</v>
      </c>
      <c r="K46" s="7">
        <f>(((((((((((((((((((((((((((((((((((((K8)+(K9))+(K10))+(K11))+(K12))+(K13))+(K14))+(K15))+(K16))+(K17))+(K18))+(K19))+(K20))+(K21))+(K22))+(K23))+(K24))+(K25))+(K26))+(K27))+(K28))+(K29))+(K30))+(K31))+(K32))+(K33))+(K34))+(K35))+(K36))+(K37))+(K38))+(K39))+(K40))+(K41))+(K42))+(K43))+(K44))+(K45)</f>
        <v>33504</v>
      </c>
      <c r="L46" s="8">
        <f t="shared" si="2"/>
        <v>0.95353092168099318</v>
      </c>
      <c r="P46" s="24"/>
    </row>
    <row r="47" spans="1:16" x14ac:dyDescent="0.25">
      <c r="A47" s="3"/>
      <c r="B47" s="17"/>
      <c r="C47" s="12"/>
      <c r="D47" s="11"/>
      <c r="E47" s="11"/>
      <c r="F47" s="40"/>
      <c r="G47" s="27"/>
      <c r="H47" s="11"/>
      <c r="I47" s="14" t="str">
        <f t="shared" si="3"/>
        <v/>
      </c>
      <c r="J47" s="4"/>
      <c r="K47" s="4"/>
      <c r="L47" s="6" t="str">
        <f t="shared" si="2"/>
        <v/>
      </c>
      <c r="N47" s="23"/>
    </row>
    <row r="48" spans="1:16" x14ac:dyDescent="0.25">
      <c r="A48" s="16" t="s">
        <v>117</v>
      </c>
      <c r="B48" s="17" t="s">
        <v>132</v>
      </c>
      <c r="C48" s="12">
        <v>-1176.3</v>
      </c>
      <c r="D48" s="11"/>
      <c r="E48" s="11">
        <v>-617.6</v>
      </c>
      <c r="F48" s="14"/>
      <c r="G48" s="27"/>
      <c r="H48" s="11">
        <v>-1582</v>
      </c>
      <c r="I48" s="14">
        <f t="shared" si="3"/>
        <v>0</v>
      </c>
      <c r="J48" s="4"/>
      <c r="K48" s="4"/>
      <c r="L48" s="6" t="str">
        <f t="shared" si="2"/>
        <v/>
      </c>
    </row>
    <row r="49" spans="1:12" ht="23.25" x14ac:dyDescent="0.25">
      <c r="A49" s="3" t="s">
        <v>43</v>
      </c>
      <c r="B49" s="70" t="s">
        <v>133</v>
      </c>
      <c r="C49" s="7">
        <f>((((C46)+(C47))+(C48)))</f>
        <v>25556.899999999998</v>
      </c>
      <c r="D49" s="29">
        <f>((((D46)+(D47))+(D48)))</f>
        <v>25012.5</v>
      </c>
      <c r="E49" s="68">
        <f>((((E46)+(E47))+(E48)))</f>
        <v>27099.800000000003</v>
      </c>
      <c r="F49" s="41">
        <f t="shared" ref="F49" si="4">IF(E49=0,"",(D49)/(E49))</f>
        <v>0.92297729134532347</v>
      </c>
      <c r="G49" s="29">
        <f>((((G46)+(G47))+(G48)))</f>
        <v>31825.200000000008</v>
      </c>
      <c r="H49" s="68">
        <f>((((H46)+(H47))+(H48)))</f>
        <v>31825.200000000004</v>
      </c>
      <c r="I49" s="15">
        <f t="shared" si="3"/>
        <v>1.0000000000000002</v>
      </c>
      <c r="J49" s="7">
        <f>((((J46)+(J47))+(J48)))</f>
        <v>31947.099999999995</v>
      </c>
      <c r="K49" s="68">
        <f>((((K46)+(K47))+(K48)))</f>
        <v>33504</v>
      </c>
      <c r="L49" s="8">
        <f t="shared" si="2"/>
        <v>0.95353092168099318</v>
      </c>
    </row>
    <row r="50" spans="1:12" x14ac:dyDescent="0.25">
      <c r="A50" s="3" t="s">
        <v>44</v>
      </c>
      <c r="B50" s="17"/>
      <c r="C50" s="12"/>
      <c r="D50" s="11"/>
      <c r="E50" s="11"/>
      <c r="F50" s="40"/>
      <c r="G50" s="27"/>
      <c r="H50" s="11"/>
      <c r="I50" s="14" t="str">
        <f t="shared" si="3"/>
        <v/>
      </c>
      <c r="J50" s="4"/>
      <c r="K50" s="4"/>
      <c r="L50" s="4"/>
    </row>
    <row r="51" spans="1:12" x14ac:dyDescent="0.25">
      <c r="A51" s="3" t="s">
        <v>45</v>
      </c>
      <c r="B51" s="17"/>
      <c r="C51" s="12"/>
      <c r="D51" s="48"/>
      <c r="E51" s="48"/>
      <c r="F51" s="47" t="str">
        <f t="shared" ref="F51:F99" si="5">IF(E51=0,"",(D51)/(E51))</f>
        <v/>
      </c>
      <c r="G51" s="27">
        <v>3528.49</v>
      </c>
      <c r="H51" s="11"/>
      <c r="I51" s="14" t="str">
        <f t="shared" si="3"/>
        <v/>
      </c>
      <c r="J51" s="4"/>
      <c r="K51" s="4"/>
      <c r="L51" s="6" t="str">
        <f t="shared" ref="L51:L99" si="6">IF(K51=0,"",(J51)/(K51))</f>
        <v/>
      </c>
    </row>
    <row r="52" spans="1:12" x14ac:dyDescent="0.25">
      <c r="A52" s="3" t="s">
        <v>46</v>
      </c>
      <c r="B52" s="17"/>
      <c r="C52" s="21">
        <v>1700</v>
      </c>
      <c r="D52" s="5">
        <f>1700</f>
        <v>1700</v>
      </c>
      <c r="E52" s="5">
        <f>1700</f>
        <v>1700</v>
      </c>
      <c r="F52" s="47">
        <f t="shared" si="5"/>
        <v>1</v>
      </c>
      <c r="G52" s="28">
        <v>1700</v>
      </c>
      <c r="H52" s="13">
        <v>1600</v>
      </c>
      <c r="I52" s="14">
        <f t="shared" ref="I52:I108" si="7">IF(H52=0,"",(G52)/(H52))</f>
        <v>1.0625</v>
      </c>
      <c r="J52" s="5">
        <f>1600</f>
        <v>1600</v>
      </c>
      <c r="K52" s="5">
        <f>1500</f>
        <v>1500</v>
      </c>
      <c r="L52" s="6">
        <f t="shared" si="6"/>
        <v>1.0666666666666667</v>
      </c>
    </row>
    <row r="53" spans="1:12" x14ac:dyDescent="0.25">
      <c r="A53" s="3" t="s">
        <v>47</v>
      </c>
      <c r="B53" s="17"/>
      <c r="C53" s="12">
        <v>0</v>
      </c>
      <c r="D53" s="4"/>
      <c r="E53" s="4"/>
      <c r="F53" s="47" t="str">
        <f t="shared" si="5"/>
        <v/>
      </c>
      <c r="G53" s="27">
        <v>0</v>
      </c>
      <c r="H53" s="11">
        <v>0</v>
      </c>
      <c r="I53" s="14" t="str">
        <f t="shared" si="7"/>
        <v/>
      </c>
      <c r="J53" s="5">
        <f>31</f>
        <v>31</v>
      </c>
      <c r="K53" s="4"/>
      <c r="L53" s="6" t="str">
        <f t="shared" si="6"/>
        <v/>
      </c>
    </row>
    <row r="54" spans="1:12" x14ac:dyDescent="0.25">
      <c r="A54" s="3" t="s">
        <v>48</v>
      </c>
      <c r="B54" s="59" t="s">
        <v>147</v>
      </c>
      <c r="C54" s="52">
        <v>1600</v>
      </c>
      <c r="D54" s="5">
        <f>1558</f>
        <v>1558</v>
      </c>
      <c r="E54" s="5">
        <f>1500</f>
        <v>1500</v>
      </c>
      <c r="F54" s="47">
        <f t="shared" si="5"/>
        <v>1.0386666666666666</v>
      </c>
      <c r="G54" s="28">
        <v>1481</v>
      </c>
      <c r="H54" s="13">
        <v>1500</v>
      </c>
      <c r="I54" s="14">
        <f t="shared" si="7"/>
        <v>0.98733333333333329</v>
      </c>
      <c r="J54" s="5">
        <f>1700</f>
        <v>1700</v>
      </c>
      <c r="K54" s="5">
        <f>1700</f>
        <v>1700</v>
      </c>
      <c r="L54" s="6">
        <f t="shared" si="6"/>
        <v>1</v>
      </c>
    </row>
    <row r="55" spans="1:12" x14ac:dyDescent="0.25">
      <c r="A55" s="3" t="s">
        <v>49</v>
      </c>
      <c r="B55" s="59" t="s">
        <v>148</v>
      </c>
      <c r="C55" s="52">
        <v>1000</v>
      </c>
      <c r="D55" s="5">
        <f>166.8</f>
        <v>166.8</v>
      </c>
      <c r="E55" s="5">
        <f>2500</f>
        <v>2500</v>
      </c>
      <c r="F55" s="47">
        <f t="shared" si="5"/>
        <v>6.6720000000000002E-2</v>
      </c>
      <c r="G55" s="28">
        <v>1985.4</v>
      </c>
      <c r="H55" s="13">
        <v>3200</v>
      </c>
      <c r="I55" s="14">
        <f t="shared" si="7"/>
        <v>0.62043749999999998</v>
      </c>
      <c r="J55" s="5">
        <f>1645.2</f>
        <v>1645.2</v>
      </c>
      <c r="K55" s="5">
        <f>2000</f>
        <v>2000</v>
      </c>
      <c r="L55" s="6">
        <f t="shared" si="6"/>
        <v>0.8226</v>
      </c>
    </row>
    <row r="56" spans="1:12" x14ac:dyDescent="0.25">
      <c r="A56" s="3" t="s">
        <v>50</v>
      </c>
      <c r="B56" s="61" t="s">
        <v>159</v>
      </c>
      <c r="C56" s="52">
        <v>2000</v>
      </c>
      <c r="D56" s="5">
        <f>718.77</f>
        <v>718.77</v>
      </c>
      <c r="E56" s="5">
        <f>2500</f>
        <v>2500</v>
      </c>
      <c r="F56" s="47">
        <f t="shared" si="5"/>
        <v>0.28750799999999999</v>
      </c>
      <c r="G56" s="28">
        <v>1165.57</v>
      </c>
      <c r="H56" s="13">
        <v>3130.9</v>
      </c>
      <c r="I56" s="14">
        <f t="shared" si="7"/>
        <v>0.37227953623558718</v>
      </c>
      <c r="J56" s="5">
        <f>2371.62</f>
        <v>2371.62</v>
      </c>
      <c r="K56" s="5">
        <f>5494</f>
        <v>5494</v>
      </c>
      <c r="L56" s="6">
        <f t="shared" si="6"/>
        <v>0.43167455405897343</v>
      </c>
    </row>
    <row r="57" spans="1:12" x14ac:dyDescent="0.25">
      <c r="A57" s="3" t="s">
        <v>51</v>
      </c>
      <c r="B57" s="17"/>
      <c r="C57" s="12">
        <v>700</v>
      </c>
      <c r="D57" s="4"/>
      <c r="E57" s="5">
        <f>800</f>
        <v>800</v>
      </c>
      <c r="F57" s="47">
        <f t="shared" si="5"/>
        <v>0</v>
      </c>
      <c r="G57" s="27">
        <v>464.56</v>
      </c>
      <c r="H57" s="13">
        <v>900</v>
      </c>
      <c r="I57" s="14">
        <f t="shared" si="7"/>
        <v>0.51617777777777774</v>
      </c>
      <c r="J57" s="5">
        <f>638.68</f>
        <v>638.67999999999995</v>
      </c>
      <c r="K57" s="5">
        <f>800</f>
        <v>800</v>
      </c>
      <c r="L57" s="6">
        <f t="shared" si="6"/>
        <v>0.79834999999999989</v>
      </c>
    </row>
    <row r="58" spans="1:12" x14ac:dyDescent="0.25">
      <c r="A58" s="3" t="s">
        <v>52</v>
      </c>
      <c r="B58" s="17"/>
      <c r="C58" s="12">
        <v>100</v>
      </c>
      <c r="D58" s="5">
        <f>100</f>
        <v>100</v>
      </c>
      <c r="E58" s="5">
        <f>100</f>
        <v>100</v>
      </c>
      <c r="F58" s="47">
        <f t="shared" si="5"/>
        <v>1</v>
      </c>
      <c r="G58" s="27">
        <v>100</v>
      </c>
      <c r="H58" s="13">
        <v>100</v>
      </c>
      <c r="I58" s="14">
        <f t="shared" si="7"/>
        <v>1</v>
      </c>
      <c r="J58" s="5">
        <f>100</f>
        <v>100</v>
      </c>
      <c r="K58" s="5">
        <f>100</f>
        <v>100</v>
      </c>
      <c r="L58" s="6">
        <f t="shared" si="6"/>
        <v>1</v>
      </c>
    </row>
    <row r="59" spans="1:12" x14ac:dyDescent="0.25">
      <c r="A59" s="3" t="s">
        <v>53</v>
      </c>
      <c r="B59" s="17"/>
      <c r="C59" s="21">
        <v>300</v>
      </c>
      <c r="D59" s="5">
        <f>300</f>
        <v>300</v>
      </c>
      <c r="E59" s="5">
        <f>300</f>
        <v>300</v>
      </c>
      <c r="F59" s="47">
        <f t="shared" si="5"/>
        <v>1</v>
      </c>
      <c r="G59" s="28">
        <v>300</v>
      </c>
      <c r="H59" s="13">
        <v>300</v>
      </c>
      <c r="I59" s="14">
        <f t="shared" si="7"/>
        <v>1</v>
      </c>
      <c r="J59" s="5">
        <f>300</f>
        <v>300</v>
      </c>
      <c r="K59" s="5">
        <f>300</f>
        <v>300</v>
      </c>
      <c r="L59" s="6">
        <f t="shared" si="6"/>
        <v>1</v>
      </c>
    </row>
    <row r="60" spans="1:12" x14ac:dyDescent="0.25">
      <c r="A60" s="3" t="s">
        <v>54</v>
      </c>
      <c r="B60" s="17"/>
      <c r="C60" s="21">
        <v>150</v>
      </c>
      <c r="D60" s="5">
        <f>150</f>
        <v>150</v>
      </c>
      <c r="E60" s="5">
        <f>150</f>
        <v>150</v>
      </c>
      <c r="F60" s="47">
        <f t="shared" si="5"/>
        <v>1</v>
      </c>
      <c r="G60" s="28">
        <v>150</v>
      </c>
      <c r="H60" s="13">
        <v>150</v>
      </c>
      <c r="I60" s="14">
        <f t="shared" si="7"/>
        <v>1</v>
      </c>
      <c r="J60" s="5">
        <f>150</f>
        <v>150</v>
      </c>
      <c r="K60" s="5">
        <f>150</f>
        <v>150</v>
      </c>
      <c r="L60" s="6">
        <f t="shared" si="6"/>
        <v>1</v>
      </c>
    </row>
    <row r="61" spans="1:12" x14ac:dyDescent="0.25">
      <c r="A61" s="3" t="s">
        <v>55</v>
      </c>
      <c r="B61" s="17"/>
      <c r="C61" s="21">
        <v>500</v>
      </c>
      <c r="D61" s="5">
        <f>500</f>
        <v>500</v>
      </c>
      <c r="E61" s="5">
        <f>500</f>
        <v>500</v>
      </c>
      <c r="F61" s="47">
        <f t="shared" si="5"/>
        <v>1</v>
      </c>
      <c r="G61" s="28">
        <v>500</v>
      </c>
      <c r="H61" s="13">
        <v>500</v>
      </c>
      <c r="I61" s="14">
        <f t="shared" si="7"/>
        <v>1</v>
      </c>
      <c r="J61" s="5">
        <f>300</f>
        <v>300</v>
      </c>
      <c r="K61" s="5">
        <f>300</f>
        <v>300</v>
      </c>
      <c r="L61" s="6">
        <f t="shared" si="6"/>
        <v>1</v>
      </c>
    </row>
    <row r="62" spans="1:12" x14ac:dyDescent="0.25">
      <c r="A62" s="3" t="s">
        <v>56</v>
      </c>
      <c r="B62" s="17"/>
      <c r="C62" s="21">
        <v>10</v>
      </c>
      <c r="D62" s="5">
        <f>10</f>
        <v>10</v>
      </c>
      <c r="E62" s="5">
        <f>10</f>
        <v>10</v>
      </c>
      <c r="F62" s="47">
        <f t="shared" si="5"/>
        <v>1</v>
      </c>
      <c r="G62" s="28">
        <v>10</v>
      </c>
      <c r="H62" s="13">
        <v>10</v>
      </c>
      <c r="I62" s="14">
        <f t="shared" si="7"/>
        <v>1</v>
      </c>
      <c r="J62" s="5">
        <f>10</f>
        <v>10</v>
      </c>
      <c r="K62" s="4"/>
      <c r="L62" s="6" t="str">
        <f t="shared" si="6"/>
        <v/>
      </c>
    </row>
    <row r="63" spans="1:12" x14ac:dyDescent="0.25">
      <c r="A63" s="3" t="s">
        <v>57</v>
      </c>
      <c r="B63" s="17"/>
      <c r="C63" s="12"/>
      <c r="D63" s="4"/>
      <c r="E63" s="4"/>
      <c r="F63" s="47" t="str">
        <f t="shared" si="5"/>
        <v/>
      </c>
      <c r="G63" s="27"/>
      <c r="H63" s="11">
        <v>0</v>
      </c>
      <c r="I63" s="14" t="str">
        <f t="shared" si="7"/>
        <v/>
      </c>
      <c r="J63" s="4"/>
      <c r="K63" s="4"/>
      <c r="L63" s="6" t="str">
        <f t="shared" si="6"/>
        <v/>
      </c>
    </row>
    <row r="64" spans="1:12" x14ac:dyDescent="0.25">
      <c r="A64" s="3" t="s">
        <v>58</v>
      </c>
      <c r="B64" s="17"/>
      <c r="C64" s="12">
        <v>250</v>
      </c>
      <c r="D64" s="4"/>
      <c r="E64" s="5">
        <f>250</f>
        <v>250</v>
      </c>
      <c r="F64" s="47">
        <f t="shared" si="5"/>
        <v>0</v>
      </c>
      <c r="G64" s="27">
        <v>255.88</v>
      </c>
      <c r="H64" s="13">
        <v>250</v>
      </c>
      <c r="I64" s="14">
        <f t="shared" si="7"/>
        <v>1.02352</v>
      </c>
      <c r="J64" s="5">
        <f>309.69</f>
        <v>309.69</v>
      </c>
      <c r="K64" s="5">
        <f>250</f>
        <v>250</v>
      </c>
      <c r="L64" s="6">
        <f t="shared" si="6"/>
        <v>1.2387600000000001</v>
      </c>
    </row>
    <row r="65" spans="1:14" x14ac:dyDescent="0.25">
      <c r="A65" s="3" t="s">
        <v>59</v>
      </c>
      <c r="B65" s="17"/>
      <c r="C65" s="22">
        <f>SUM(C51:C64)</f>
        <v>8310</v>
      </c>
      <c r="D65" s="49">
        <f>(((((((((((((D51)+(D52))+(D53))+(D54))+(D55))+(D56))+(D57))+(D58))+(D59))+(D60))+(D61))+(D62))+(D63))+(D64)</f>
        <v>5203.57</v>
      </c>
      <c r="E65" s="49">
        <f>(((((((((((((E51)+(E52))+(E53))+(E54))+(E55))+(E56))+(E57))+(E58))+(E59))+(E60))+(E61))+(E62))+(E63))+(E64)</f>
        <v>10310</v>
      </c>
      <c r="F65" s="50">
        <f t="shared" si="5"/>
        <v>0.50471096023278372</v>
      </c>
      <c r="G65" s="29">
        <f>(((((((((((((G51)+(G52))+(G53))+(G54))+(G55))+(G56))+(G57))+(G58))+(G59))+(G60))+(G61))+(G62))+(G63))+(G64)</f>
        <v>11640.899999999998</v>
      </c>
      <c r="H65" s="7">
        <f>(((((((((((((H51)+(H52))+(H53))+(H54))+(H55))+(H56))+(H57))+(H58))+(H59))+(H60))+(H61))+(H62))+(H63))+(H64)</f>
        <v>11640.9</v>
      </c>
      <c r="I65" s="15">
        <f t="shared" ref="I65" si="8">IF(H65=0,"",(G65)/(H65))</f>
        <v>0.99999999999999989</v>
      </c>
      <c r="J65" s="7">
        <f>(((((((((((((J51)+(J52))+(J53))+(J54))+(J55))+(J56))+(J57))+(J58))+(J59))+(J60))+(J61))+(J62))+(J63))+(J64)</f>
        <v>9156.19</v>
      </c>
      <c r="K65" s="7">
        <f>(((((((((((((K51)+(K52))+(K53))+(K54))+(K55))+(K56))+(K57))+(K58))+(K59))+(K60))+(K61))+(K62))+(K63))+(K64)</f>
        <v>12594</v>
      </c>
      <c r="L65" s="8">
        <f t="shared" si="6"/>
        <v>0.7270279498173734</v>
      </c>
    </row>
    <row r="66" spans="1:14" x14ac:dyDescent="0.25">
      <c r="A66" s="3" t="s">
        <v>60</v>
      </c>
      <c r="B66" s="17"/>
      <c r="C66" s="12"/>
      <c r="D66" s="48"/>
      <c r="E66" s="48"/>
      <c r="F66" s="47" t="str">
        <f t="shared" si="5"/>
        <v/>
      </c>
      <c r="G66" s="27">
        <v>4155.8</v>
      </c>
      <c r="H66" s="11"/>
      <c r="I66" s="14" t="str">
        <f t="shared" si="7"/>
        <v/>
      </c>
      <c r="J66" s="4"/>
      <c r="K66" s="4"/>
      <c r="L66" s="6" t="str">
        <f t="shared" si="6"/>
        <v/>
      </c>
    </row>
    <row r="67" spans="1:14" x14ac:dyDescent="0.25">
      <c r="A67" s="3" t="s">
        <v>61</v>
      </c>
      <c r="B67" s="69" t="s">
        <v>112</v>
      </c>
      <c r="C67" s="12">
        <v>3000</v>
      </c>
      <c r="D67" s="48"/>
      <c r="E67" s="46">
        <f>2800</f>
        <v>2800</v>
      </c>
      <c r="F67" s="47">
        <f t="shared" si="5"/>
        <v>0</v>
      </c>
      <c r="G67" s="27">
        <v>894.2</v>
      </c>
      <c r="H67" s="13">
        <v>2800</v>
      </c>
      <c r="I67" s="14">
        <f t="shared" si="7"/>
        <v>0.31935714285714289</v>
      </c>
      <c r="J67" s="5">
        <f>3500</f>
        <v>3500</v>
      </c>
      <c r="K67" s="5">
        <f>3500</f>
        <v>3500</v>
      </c>
      <c r="L67" s="6">
        <f t="shared" si="6"/>
        <v>1</v>
      </c>
    </row>
    <row r="68" spans="1:14" ht="23.25" x14ac:dyDescent="0.25">
      <c r="A68" s="3" t="s">
        <v>62</v>
      </c>
      <c r="B68" s="17" t="s">
        <v>122</v>
      </c>
      <c r="C68" s="12">
        <v>500</v>
      </c>
      <c r="D68" s="48"/>
      <c r="E68" s="46">
        <f>500</f>
        <v>500</v>
      </c>
      <c r="F68" s="47">
        <f t="shared" si="5"/>
        <v>0</v>
      </c>
      <c r="G68" s="27"/>
      <c r="H68" s="11">
        <v>0</v>
      </c>
      <c r="I68" s="14" t="str">
        <f t="shared" si="7"/>
        <v/>
      </c>
      <c r="J68" s="5">
        <f>500</f>
        <v>500</v>
      </c>
      <c r="K68" s="5">
        <f>500</f>
        <v>500</v>
      </c>
      <c r="L68" s="6">
        <f t="shared" si="6"/>
        <v>1</v>
      </c>
    </row>
    <row r="69" spans="1:14" x14ac:dyDescent="0.25">
      <c r="A69" s="3" t="s">
        <v>63</v>
      </c>
      <c r="B69" s="17"/>
      <c r="C69" s="12">
        <v>250</v>
      </c>
      <c r="D69" s="48"/>
      <c r="E69" s="46">
        <f>200</f>
        <v>200</v>
      </c>
      <c r="F69" s="47">
        <f t="shared" si="5"/>
        <v>0</v>
      </c>
      <c r="G69" s="27"/>
      <c r="H69" s="11">
        <v>250</v>
      </c>
      <c r="I69" s="14">
        <f t="shared" si="7"/>
        <v>0</v>
      </c>
      <c r="J69" s="5">
        <f>300</f>
        <v>300</v>
      </c>
      <c r="K69" s="5">
        <f>300</f>
        <v>300</v>
      </c>
      <c r="L69" s="6">
        <f t="shared" si="6"/>
        <v>1</v>
      </c>
    </row>
    <row r="70" spans="1:14" x14ac:dyDescent="0.25">
      <c r="A70" s="3" t="s">
        <v>64</v>
      </c>
      <c r="B70" s="17" t="s">
        <v>141</v>
      </c>
      <c r="C70" s="12"/>
      <c r="D70" s="48"/>
      <c r="E70" s="48"/>
      <c r="F70" s="47" t="str">
        <f t="shared" si="5"/>
        <v/>
      </c>
      <c r="G70" s="27"/>
      <c r="H70" s="13">
        <v>0</v>
      </c>
      <c r="I70" s="14" t="str">
        <f t="shared" si="7"/>
        <v/>
      </c>
      <c r="J70" s="4"/>
      <c r="K70" s="4"/>
      <c r="L70" s="6" t="str">
        <f t="shared" si="6"/>
        <v/>
      </c>
    </row>
    <row r="71" spans="1:14" x14ac:dyDescent="0.25">
      <c r="A71" s="3" t="s">
        <v>65</v>
      </c>
      <c r="B71" s="17"/>
      <c r="C71" s="12">
        <v>2000</v>
      </c>
      <c r="D71" s="48"/>
      <c r="E71" s="46">
        <f>2000</f>
        <v>2000</v>
      </c>
      <c r="F71" s="47">
        <f t="shared" si="5"/>
        <v>0</v>
      </c>
      <c r="G71" s="27"/>
      <c r="H71" s="13">
        <f>2000</f>
        <v>2000</v>
      </c>
      <c r="I71" s="14">
        <f t="shared" si="7"/>
        <v>0</v>
      </c>
      <c r="J71" s="5">
        <f>1500</f>
        <v>1500</v>
      </c>
      <c r="K71" s="5">
        <f>1500</f>
        <v>1500</v>
      </c>
      <c r="L71" s="6">
        <f t="shared" si="6"/>
        <v>1</v>
      </c>
    </row>
    <row r="72" spans="1:14" x14ac:dyDescent="0.25">
      <c r="A72" s="3" t="s">
        <v>66</v>
      </c>
      <c r="B72" s="17"/>
      <c r="C72" s="22">
        <f>SUM(C66:C71)</f>
        <v>5750</v>
      </c>
      <c r="D72" s="49">
        <f>(((((D66)+(D67))+(D68))+(D69))+(D70))+(D71)</f>
        <v>0</v>
      </c>
      <c r="E72" s="49">
        <f>(((((E66)+(E67))+(E68))+(E69))+(E70))+(E71)</f>
        <v>5500</v>
      </c>
      <c r="F72" s="50">
        <f t="shared" si="5"/>
        <v>0</v>
      </c>
      <c r="G72" s="29">
        <f>(((((G66)+(G67))+(G68))+(G69))+(G70))+(G71)</f>
        <v>5050</v>
      </c>
      <c r="H72" s="7">
        <f>(((((H66)+(H67))+(H68))+(H69))+(H70))+(H71)</f>
        <v>5050</v>
      </c>
      <c r="I72" s="15">
        <f t="shared" si="7"/>
        <v>1</v>
      </c>
      <c r="J72" s="7">
        <f>(((((J66)+(J67))+(J68))+(J69))+(J70))+(J71)</f>
        <v>5800</v>
      </c>
      <c r="K72" s="7">
        <f>(((((K66)+(K67))+(K68))+(K69))+(K70))+(K71)</f>
        <v>5800</v>
      </c>
      <c r="L72" s="8">
        <f t="shared" si="6"/>
        <v>1</v>
      </c>
    </row>
    <row r="73" spans="1:14" x14ac:dyDescent="0.25">
      <c r="A73" s="3" t="s">
        <v>67</v>
      </c>
      <c r="B73" s="69" t="s">
        <v>111</v>
      </c>
      <c r="C73" s="12"/>
      <c r="D73" s="48"/>
      <c r="E73" s="48"/>
      <c r="F73" s="47" t="str">
        <f t="shared" si="5"/>
        <v/>
      </c>
      <c r="G73" s="27">
        <v>339.38</v>
      </c>
      <c r="H73" s="11"/>
      <c r="I73" s="14" t="str">
        <f t="shared" si="7"/>
        <v/>
      </c>
      <c r="J73" s="4"/>
      <c r="K73" s="5">
        <f>6500</f>
        <v>6500</v>
      </c>
      <c r="L73" s="6">
        <f t="shared" si="6"/>
        <v>0</v>
      </c>
    </row>
    <row r="74" spans="1:14" x14ac:dyDescent="0.25">
      <c r="A74" s="3" t="s">
        <v>68</v>
      </c>
      <c r="B74" s="17"/>
      <c r="C74" s="21">
        <v>2800</v>
      </c>
      <c r="D74" s="46">
        <f>453.54</f>
        <v>453.54</v>
      </c>
      <c r="E74" s="46">
        <f>2800</f>
        <v>2800</v>
      </c>
      <c r="F74" s="47">
        <f t="shared" si="5"/>
        <v>0.16197857142857144</v>
      </c>
      <c r="G74" s="28">
        <v>2727</v>
      </c>
      <c r="H74" s="13">
        <v>3000</v>
      </c>
      <c r="I74" s="14">
        <f t="shared" si="7"/>
        <v>0.90900000000000003</v>
      </c>
      <c r="J74" s="5">
        <f>2265.4</f>
        <v>2265.4</v>
      </c>
      <c r="K74" s="4"/>
      <c r="L74" s="6" t="str">
        <f t="shared" si="6"/>
        <v/>
      </c>
      <c r="N74" s="24"/>
    </row>
    <row r="75" spans="1:14" x14ac:dyDescent="0.25">
      <c r="A75" s="3" t="s">
        <v>69</v>
      </c>
      <c r="B75" s="17"/>
      <c r="C75" s="12">
        <v>200</v>
      </c>
      <c r="D75" s="48"/>
      <c r="E75" s="46">
        <f>200</f>
        <v>200</v>
      </c>
      <c r="F75" s="47">
        <f t="shared" si="5"/>
        <v>0</v>
      </c>
      <c r="G75" s="27"/>
      <c r="H75" s="13">
        <v>100</v>
      </c>
      <c r="I75" s="14">
        <f t="shared" si="7"/>
        <v>0</v>
      </c>
      <c r="J75" s="5">
        <f>96</f>
        <v>96</v>
      </c>
      <c r="K75" s="4"/>
      <c r="L75" s="6" t="str">
        <f t="shared" si="6"/>
        <v/>
      </c>
    </row>
    <row r="76" spans="1:14" x14ac:dyDescent="0.25">
      <c r="A76" s="3" t="s">
        <v>70</v>
      </c>
      <c r="B76" s="17"/>
      <c r="C76" s="21">
        <v>1600</v>
      </c>
      <c r="D76" s="48"/>
      <c r="E76" s="46">
        <f>1600</f>
        <v>1600</v>
      </c>
      <c r="F76" s="47">
        <f t="shared" si="5"/>
        <v>0</v>
      </c>
      <c r="G76" s="28">
        <v>1233.6199999999999</v>
      </c>
      <c r="H76" s="13">
        <v>1200</v>
      </c>
      <c r="I76" s="14">
        <f t="shared" si="7"/>
        <v>1.0280166666666666</v>
      </c>
      <c r="J76" s="5">
        <f>1498.94</f>
        <v>1498.94</v>
      </c>
      <c r="K76" s="4"/>
      <c r="L76" s="6" t="str">
        <f t="shared" si="6"/>
        <v/>
      </c>
    </row>
    <row r="77" spans="1:14" x14ac:dyDescent="0.25">
      <c r="A77" s="3" t="s">
        <v>71</v>
      </c>
      <c r="B77" s="59"/>
      <c r="C77" s="22">
        <f>SUM(C73:C76)</f>
        <v>4600</v>
      </c>
      <c r="D77" s="49">
        <f>(((D73)+(D74))+(D75))+(D76)</f>
        <v>453.54</v>
      </c>
      <c r="E77" s="49">
        <f>(((E73)+(E74))+(E75))+(E76)</f>
        <v>4600</v>
      </c>
      <c r="F77" s="50">
        <f t="shared" si="5"/>
        <v>9.8595652173913043E-2</v>
      </c>
      <c r="G77" s="29">
        <f>(((G73)+(G74))+(G75))+(G76)</f>
        <v>4300</v>
      </c>
      <c r="H77" s="7">
        <f>(((H73)+(H74))+(H75))+(H76)</f>
        <v>4300</v>
      </c>
      <c r="I77" s="15">
        <f t="shared" si="7"/>
        <v>1</v>
      </c>
      <c r="J77" s="7">
        <f>(((J73)+(J74))+(J75))+(J76)</f>
        <v>3860.34</v>
      </c>
      <c r="K77" s="7">
        <f>(((K73)+(K74))+(K75))+(K76)</f>
        <v>6500</v>
      </c>
      <c r="L77" s="8">
        <f t="shared" si="6"/>
        <v>0.5938984615384616</v>
      </c>
      <c r="N77" s="23"/>
    </row>
    <row r="78" spans="1:14" x14ac:dyDescent="0.25">
      <c r="A78" s="3" t="s">
        <v>72</v>
      </c>
      <c r="B78" s="59"/>
      <c r="C78" s="12"/>
      <c r="D78" s="48"/>
      <c r="E78" s="48"/>
      <c r="F78" s="47" t="str">
        <f t="shared" si="5"/>
        <v/>
      </c>
      <c r="G78" s="27">
        <v>2603.2399999999998</v>
      </c>
      <c r="H78" s="11"/>
      <c r="I78" s="14" t="str">
        <f t="shared" si="7"/>
        <v/>
      </c>
      <c r="J78" s="4"/>
      <c r="K78" s="4"/>
      <c r="L78" s="6" t="str">
        <f t="shared" si="6"/>
        <v/>
      </c>
    </row>
    <row r="79" spans="1:14" x14ac:dyDescent="0.25">
      <c r="A79" s="3" t="s">
        <v>73</v>
      </c>
      <c r="B79" s="59" t="s">
        <v>149</v>
      </c>
      <c r="C79" s="53">
        <v>500</v>
      </c>
      <c r="D79" s="48"/>
      <c r="E79" s="46">
        <f>500</f>
        <v>500</v>
      </c>
      <c r="F79" s="47">
        <f t="shared" si="5"/>
        <v>0</v>
      </c>
      <c r="G79" s="27"/>
      <c r="H79" s="13">
        <v>500</v>
      </c>
      <c r="I79" s="14">
        <f t="shared" si="7"/>
        <v>0</v>
      </c>
      <c r="J79" s="5">
        <f>600</f>
        <v>600</v>
      </c>
      <c r="K79" s="5">
        <f>600</f>
        <v>600</v>
      </c>
      <c r="L79" s="6">
        <f t="shared" si="6"/>
        <v>1</v>
      </c>
    </row>
    <row r="80" spans="1:14" x14ac:dyDescent="0.25">
      <c r="A80" s="3" t="s">
        <v>74</v>
      </c>
      <c r="B80" s="59"/>
      <c r="C80" s="12"/>
      <c r="D80" s="48"/>
      <c r="E80" s="48"/>
      <c r="F80" s="47" t="str">
        <f t="shared" si="5"/>
        <v/>
      </c>
      <c r="G80" s="27"/>
      <c r="H80" s="11">
        <v>0</v>
      </c>
      <c r="I80" s="14" t="str">
        <f t="shared" si="7"/>
        <v/>
      </c>
      <c r="J80" s="4"/>
      <c r="K80" s="4"/>
      <c r="L80" s="6" t="str">
        <f t="shared" si="6"/>
        <v/>
      </c>
    </row>
    <row r="81" spans="1:14" x14ac:dyDescent="0.25">
      <c r="A81" s="3" t="s">
        <v>75</v>
      </c>
      <c r="B81" s="59" t="s">
        <v>150</v>
      </c>
      <c r="C81" s="53">
        <v>2000</v>
      </c>
      <c r="D81" s="48"/>
      <c r="E81" s="46">
        <f>2000</f>
        <v>2000</v>
      </c>
      <c r="F81" s="47">
        <f t="shared" si="5"/>
        <v>0</v>
      </c>
      <c r="G81" s="27"/>
      <c r="H81" s="11">
        <v>2000</v>
      </c>
      <c r="I81" s="14">
        <f t="shared" si="7"/>
        <v>0</v>
      </c>
      <c r="J81" s="5">
        <f>2066.7</f>
        <v>2066.6999999999998</v>
      </c>
      <c r="K81" s="5">
        <f>2000</f>
        <v>2000</v>
      </c>
      <c r="L81" s="6">
        <f t="shared" si="6"/>
        <v>1.03335</v>
      </c>
    </row>
    <row r="82" spans="1:14" x14ac:dyDescent="0.25">
      <c r="A82" s="3" t="s">
        <v>76</v>
      </c>
      <c r="B82" s="59" t="s">
        <v>149</v>
      </c>
      <c r="C82" s="21">
        <v>500</v>
      </c>
      <c r="D82" s="48"/>
      <c r="E82" s="46">
        <f>500</f>
        <v>500</v>
      </c>
      <c r="F82" s="47">
        <f t="shared" si="5"/>
        <v>0</v>
      </c>
      <c r="G82" s="27">
        <v>396.76</v>
      </c>
      <c r="H82" s="13">
        <v>500</v>
      </c>
      <c r="I82" s="14">
        <f t="shared" si="7"/>
        <v>0.79352</v>
      </c>
      <c r="J82" s="5">
        <f>433.3</f>
        <v>433.3</v>
      </c>
      <c r="K82" s="5">
        <f>500</f>
        <v>500</v>
      </c>
      <c r="L82" s="6">
        <f t="shared" si="6"/>
        <v>0.86660000000000004</v>
      </c>
      <c r="N82" s="34"/>
    </row>
    <row r="83" spans="1:14" x14ac:dyDescent="0.25">
      <c r="A83" s="3" t="s">
        <v>77</v>
      </c>
      <c r="B83" s="17"/>
      <c r="C83" s="22">
        <f>SUM(C78:C82)</f>
        <v>3000</v>
      </c>
      <c r="D83" s="49">
        <f>((((D78)+(D79))+(D80))+(D81))+(D82)</f>
        <v>0</v>
      </c>
      <c r="E83" s="49">
        <f>((((E78)+(E79))+(E80))+(E81))+(E82)</f>
        <v>3000</v>
      </c>
      <c r="F83" s="50">
        <f t="shared" si="5"/>
        <v>0</v>
      </c>
      <c r="G83" s="29">
        <f>((((G78)+(G79))+(G80))+(G81))+(G82)</f>
        <v>3000</v>
      </c>
      <c r="H83" s="7">
        <f>((((H78)+(H79))+(H80))+(H81))+(H82)</f>
        <v>3000</v>
      </c>
      <c r="I83" s="15">
        <f t="shared" si="7"/>
        <v>1</v>
      </c>
      <c r="J83" s="7">
        <f>((((J78)+(J79))+(J80))+(J81))+(J82)</f>
        <v>3100</v>
      </c>
      <c r="K83" s="7">
        <f>((((K78)+(K79))+(K80))+(K81))+(K82)</f>
        <v>3100</v>
      </c>
      <c r="L83" s="8">
        <f t="shared" si="6"/>
        <v>1</v>
      </c>
    </row>
    <row r="84" spans="1:14" x14ac:dyDescent="0.25">
      <c r="A84" s="3" t="s">
        <v>78</v>
      </c>
      <c r="B84" s="17"/>
      <c r="C84" s="12"/>
      <c r="D84" s="48"/>
      <c r="E84" s="48"/>
      <c r="F84" s="47" t="str">
        <f t="shared" si="5"/>
        <v/>
      </c>
      <c r="G84" s="27">
        <v>-12.92</v>
      </c>
      <c r="H84" s="11"/>
      <c r="I84" s="14" t="str">
        <f t="shared" si="7"/>
        <v/>
      </c>
      <c r="J84" s="4"/>
      <c r="K84" s="4"/>
      <c r="L84" s="6" t="str">
        <f t="shared" si="6"/>
        <v/>
      </c>
    </row>
    <row r="85" spans="1:14" ht="15" customHeight="1" x14ac:dyDescent="0.25">
      <c r="A85" s="3" t="s">
        <v>79</v>
      </c>
      <c r="B85" s="59" t="s">
        <v>152</v>
      </c>
      <c r="C85" s="53">
        <v>300</v>
      </c>
      <c r="D85" s="5">
        <f>200</f>
        <v>200</v>
      </c>
      <c r="E85" s="46">
        <f>300</f>
        <v>300</v>
      </c>
      <c r="F85" s="47">
        <f t="shared" si="5"/>
        <v>0.66666666666666663</v>
      </c>
      <c r="G85" s="27">
        <v>25</v>
      </c>
      <c r="H85" s="11"/>
      <c r="I85" s="14" t="str">
        <f t="shared" si="7"/>
        <v/>
      </c>
      <c r="J85" s="5">
        <f>120</f>
        <v>120</v>
      </c>
      <c r="K85" s="5">
        <f>300</f>
        <v>300</v>
      </c>
      <c r="L85" s="6">
        <f t="shared" si="6"/>
        <v>0.4</v>
      </c>
    </row>
    <row r="86" spans="1:14" ht="15" customHeight="1" x14ac:dyDescent="0.25">
      <c r="A86" s="3" t="s">
        <v>80</v>
      </c>
      <c r="B86" s="59" t="s">
        <v>151</v>
      </c>
      <c r="C86" s="52">
        <v>450</v>
      </c>
      <c r="D86" s="4"/>
      <c r="E86" s="46">
        <f>450</f>
        <v>450</v>
      </c>
      <c r="F86" s="47">
        <f t="shared" si="5"/>
        <v>0</v>
      </c>
      <c r="G86" s="28">
        <v>208.26</v>
      </c>
      <c r="H86" s="13">
        <v>300</v>
      </c>
      <c r="I86" s="14">
        <f t="shared" si="7"/>
        <v>0.69419999999999993</v>
      </c>
      <c r="J86" s="5">
        <f>434.79</f>
        <v>434.79</v>
      </c>
      <c r="K86" s="5">
        <f>400</f>
        <v>400</v>
      </c>
      <c r="L86" s="6">
        <f t="shared" si="6"/>
        <v>1.086975</v>
      </c>
    </row>
    <row r="87" spans="1:14" ht="15" customHeight="1" x14ac:dyDescent="0.25">
      <c r="A87" s="3" t="s">
        <v>81</v>
      </c>
      <c r="B87" s="61" t="s">
        <v>160</v>
      </c>
      <c r="C87" s="53">
        <v>180</v>
      </c>
      <c r="D87" s="5">
        <f>240</f>
        <v>240</v>
      </c>
      <c r="E87" s="46">
        <f>420</f>
        <v>420</v>
      </c>
      <c r="F87" s="47">
        <f t="shared" si="5"/>
        <v>0.5714285714285714</v>
      </c>
      <c r="G87" s="27">
        <v>115</v>
      </c>
      <c r="H87" s="11"/>
      <c r="I87" s="14" t="str">
        <f t="shared" si="7"/>
        <v/>
      </c>
      <c r="J87" s="5">
        <f>300</f>
        <v>300</v>
      </c>
      <c r="K87" s="5">
        <f>300</f>
        <v>300</v>
      </c>
      <c r="L87" s="6">
        <f t="shared" si="6"/>
        <v>1</v>
      </c>
    </row>
    <row r="88" spans="1:14" ht="15" customHeight="1" x14ac:dyDescent="0.25">
      <c r="A88" s="3" t="s">
        <v>82</v>
      </c>
      <c r="B88" s="59" t="s">
        <v>152</v>
      </c>
      <c r="C88" s="52">
        <v>300</v>
      </c>
      <c r="D88" s="5">
        <f>288.5</f>
        <v>288.5</v>
      </c>
      <c r="E88" s="46">
        <f>300</f>
        <v>300</v>
      </c>
      <c r="F88" s="47">
        <f t="shared" si="5"/>
        <v>0.96166666666666667</v>
      </c>
      <c r="G88" s="28">
        <v>264.66000000000003</v>
      </c>
      <c r="H88" s="13">
        <v>300</v>
      </c>
      <c r="I88" s="14">
        <f t="shared" si="7"/>
        <v>0.8822000000000001</v>
      </c>
      <c r="J88" s="5">
        <f>294.03</f>
        <v>294.02999999999997</v>
      </c>
      <c r="K88" s="5">
        <f>300</f>
        <v>300</v>
      </c>
      <c r="L88" s="6">
        <f t="shared" si="6"/>
        <v>0.98009999999999986</v>
      </c>
    </row>
    <row r="89" spans="1:14" x14ac:dyDescent="0.25">
      <c r="A89" s="3" t="s">
        <v>83</v>
      </c>
      <c r="B89" s="17"/>
      <c r="C89" s="22">
        <f>SUM(C84:C88)</f>
        <v>1230</v>
      </c>
      <c r="D89" s="49">
        <f>((((D84)+(D85))+(D86))+(D87))+(D88)</f>
        <v>728.5</v>
      </c>
      <c r="E89" s="49">
        <f>((((E84)+(E85))+(E86))+(E87))+(E88)</f>
        <v>1470</v>
      </c>
      <c r="F89" s="50">
        <f t="shared" si="5"/>
        <v>0.49557823129251699</v>
      </c>
      <c r="G89" s="29">
        <f>((((G84)+(G85))+(G86))+(G87))+(G88)</f>
        <v>600</v>
      </c>
      <c r="H89" s="7">
        <f>((((H84)+(H85))+(H86))+(H87))+(H88)</f>
        <v>600</v>
      </c>
      <c r="I89" s="15">
        <f t="shared" si="7"/>
        <v>1</v>
      </c>
      <c r="J89" s="7">
        <f>((((J84)+(J85))+(J86))+(J87))+(J88)</f>
        <v>1148.82</v>
      </c>
      <c r="K89" s="7">
        <f>((((K84)+(K85))+(K86))+(K87))+(K88)</f>
        <v>1300</v>
      </c>
      <c r="L89" s="8">
        <f t="shared" si="6"/>
        <v>0.88370769230769231</v>
      </c>
      <c r="N89" s="23"/>
    </row>
    <row r="90" spans="1:14" x14ac:dyDescent="0.25">
      <c r="A90" s="3" t="s">
        <v>84</v>
      </c>
      <c r="B90" s="17"/>
      <c r="C90" s="12"/>
      <c r="D90" s="48"/>
      <c r="E90" s="48"/>
      <c r="F90" s="47" t="str">
        <f t="shared" si="5"/>
        <v/>
      </c>
      <c r="G90" s="27">
        <v>1210.52</v>
      </c>
      <c r="H90" s="11"/>
      <c r="I90" s="14" t="str">
        <f t="shared" si="7"/>
        <v/>
      </c>
      <c r="J90" s="4"/>
      <c r="K90" s="4"/>
      <c r="L90" s="6" t="str">
        <f t="shared" si="6"/>
        <v/>
      </c>
    </row>
    <row r="91" spans="1:14" x14ac:dyDescent="0.25">
      <c r="A91" s="3" t="s">
        <v>85</v>
      </c>
      <c r="B91" s="59" t="s">
        <v>153</v>
      </c>
      <c r="C91" s="52">
        <v>400</v>
      </c>
      <c r="D91" s="5">
        <f>225</f>
        <v>225</v>
      </c>
      <c r="E91" s="46">
        <f>900</f>
        <v>900</v>
      </c>
      <c r="F91" s="47">
        <f t="shared" si="5"/>
        <v>0.25</v>
      </c>
      <c r="G91" s="28">
        <v>100</v>
      </c>
      <c r="H91" s="13">
        <v>300</v>
      </c>
      <c r="I91" s="14">
        <f t="shared" si="7"/>
        <v>0.33333333333333331</v>
      </c>
      <c r="J91" s="5">
        <f>900</f>
        <v>900</v>
      </c>
      <c r="K91" s="5">
        <f>900</f>
        <v>900</v>
      </c>
      <c r="L91" s="6">
        <f t="shared" si="6"/>
        <v>1</v>
      </c>
    </row>
    <row r="92" spans="1:14" x14ac:dyDescent="0.25">
      <c r="A92" s="3" t="s">
        <v>86</v>
      </c>
      <c r="B92" s="59" t="s">
        <v>154</v>
      </c>
      <c r="C92" s="12">
        <v>250</v>
      </c>
      <c r="D92" s="4"/>
      <c r="E92" s="46">
        <f>250</f>
        <v>250</v>
      </c>
      <c r="F92" s="47">
        <f t="shared" si="5"/>
        <v>0</v>
      </c>
      <c r="G92" s="27"/>
      <c r="H92" s="11">
        <v>0</v>
      </c>
      <c r="I92" s="14" t="str">
        <f t="shared" si="7"/>
        <v/>
      </c>
      <c r="J92" s="5">
        <f>250</f>
        <v>250</v>
      </c>
      <c r="K92" s="5">
        <f>250</f>
        <v>250</v>
      </c>
      <c r="L92" s="6">
        <f t="shared" si="6"/>
        <v>1</v>
      </c>
    </row>
    <row r="93" spans="1:14" x14ac:dyDescent="0.25">
      <c r="A93" s="3" t="s">
        <v>87</v>
      </c>
      <c r="B93" s="59" t="s">
        <v>155</v>
      </c>
      <c r="C93" s="21">
        <v>50</v>
      </c>
      <c r="D93" s="4"/>
      <c r="E93" s="46">
        <f>100</f>
        <v>100</v>
      </c>
      <c r="F93" s="47">
        <f t="shared" si="5"/>
        <v>0</v>
      </c>
      <c r="G93" s="27"/>
      <c r="H93" s="11">
        <v>0</v>
      </c>
      <c r="I93" s="14" t="str">
        <f t="shared" si="7"/>
        <v/>
      </c>
      <c r="J93" s="5">
        <f>893</f>
        <v>893</v>
      </c>
      <c r="K93" s="5">
        <f>900</f>
        <v>900</v>
      </c>
      <c r="L93" s="6">
        <f t="shared" si="6"/>
        <v>0.99222222222222223</v>
      </c>
    </row>
    <row r="94" spans="1:14" x14ac:dyDescent="0.25">
      <c r="A94" s="3" t="s">
        <v>88</v>
      </c>
      <c r="B94" s="17"/>
      <c r="C94" s="21">
        <v>1900</v>
      </c>
      <c r="D94" s="5">
        <f>650</f>
        <v>650</v>
      </c>
      <c r="E94" s="46">
        <f>1500</f>
        <v>1500</v>
      </c>
      <c r="F94" s="47">
        <f t="shared" si="5"/>
        <v>0.43333333333333335</v>
      </c>
      <c r="G94" s="28">
        <v>725</v>
      </c>
      <c r="H94" s="11">
        <v>1500</v>
      </c>
      <c r="I94" s="14">
        <f t="shared" si="7"/>
        <v>0.48333333333333334</v>
      </c>
      <c r="J94" s="5">
        <f>1460.34</f>
        <v>1460.34</v>
      </c>
      <c r="K94" s="5">
        <f>1900</f>
        <v>1900</v>
      </c>
      <c r="L94" s="6">
        <f t="shared" si="6"/>
        <v>0.76859999999999995</v>
      </c>
      <c r="N94" s="34"/>
    </row>
    <row r="95" spans="1:14" x14ac:dyDescent="0.25">
      <c r="A95" s="3" t="s">
        <v>89</v>
      </c>
      <c r="B95" s="17"/>
      <c r="C95" s="21">
        <v>1000</v>
      </c>
      <c r="D95" s="5">
        <f>691.76</f>
        <v>691.76</v>
      </c>
      <c r="E95" s="46">
        <f>1000</f>
        <v>1000</v>
      </c>
      <c r="F95" s="47">
        <f t="shared" si="5"/>
        <v>0.69176000000000004</v>
      </c>
      <c r="G95" s="28">
        <v>900.83</v>
      </c>
      <c r="H95" s="13">
        <v>1000</v>
      </c>
      <c r="I95" s="14">
        <f t="shared" si="7"/>
        <v>0.90083000000000002</v>
      </c>
      <c r="J95" s="5">
        <f>1060.82</f>
        <v>1060.82</v>
      </c>
      <c r="K95" s="5">
        <f>1300</f>
        <v>1300</v>
      </c>
      <c r="L95" s="6">
        <f t="shared" si="6"/>
        <v>0.81601538461538459</v>
      </c>
      <c r="N95" s="34"/>
    </row>
    <row r="96" spans="1:14" x14ac:dyDescent="0.25">
      <c r="A96" s="3" t="s">
        <v>90</v>
      </c>
      <c r="B96" s="17"/>
      <c r="C96" s="12"/>
      <c r="D96" s="4"/>
      <c r="E96" s="48"/>
      <c r="F96" s="47" t="str">
        <f t="shared" si="5"/>
        <v/>
      </c>
      <c r="G96" s="28"/>
      <c r="H96" s="13">
        <v>0</v>
      </c>
      <c r="I96" s="14" t="str">
        <f t="shared" si="7"/>
        <v/>
      </c>
      <c r="J96" s="5">
        <f>148.04</f>
        <v>148.04</v>
      </c>
      <c r="K96" s="4"/>
      <c r="L96" s="6" t="str">
        <f t="shared" si="6"/>
        <v/>
      </c>
    </row>
    <row r="97" spans="1:15" x14ac:dyDescent="0.25">
      <c r="A97" s="51" t="s">
        <v>91</v>
      </c>
      <c r="B97" s="17"/>
      <c r="C97" s="21">
        <v>6230</v>
      </c>
      <c r="D97" s="5">
        <f>4562.02</f>
        <v>4562.0200000000004</v>
      </c>
      <c r="E97" s="46">
        <f>4200</f>
        <v>4200</v>
      </c>
      <c r="F97" s="47">
        <f t="shared" si="5"/>
        <v>1.0861952380952382</v>
      </c>
      <c r="G97" s="28">
        <v>3662.35</v>
      </c>
      <c r="H97" s="13">
        <v>3798.7</v>
      </c>
      <c r="I97" s="14">
        <f t="shared" si="7"/>
        <v>0.96410614157474928</v>
      </c>
      <c r="J97" s="4"/>
      <c r="K97" s="4"/>
      <c r="L97" s="6" t="str">
        <f t="shared" si="6"/>
        <v/>
      </c>
      <c r="N97" s="34"/>
    </row>
    <row r="98" spans="1:15" x14ac:dyDescent="0.25">
      <c r="A98" s="3" t="s">
        <v>92</v>
      </c>
      <c r="B98" s="17"/>
      <c r="C98" s="21">
        <v>500</v>
      </c>
      <c r="D98" s="48"/>
      <c r="E98" s="46">
        <f>500</f>
        <v>500</v>
      </c>
      <c r="F98" s="47">
        <f t="shared" si="5"/>
        <v>0</v>
      </c>
      <c r="G98" s="27">
        <v>500</v>
      </c>
      <c r="H98" s="11">
        <v>500</v>
      </c>
      <c r="I98" s="14">
        <f t="shared" si="7"/>
        <v>1</v>
      </c>
      <c r="J98" s="5">
        <f>500</f>
        <v>500</v>
      </c>
      <c r="K98" s="5">
        <f>500</f>
        <v>500</v>
      </c>
      <c r="L98" s="6">
        <f t="shared" si="6"/>
        <v>1</v>
      </c>
    </row>
    <row r="99" spans="1:15" x14ac:dyDescent="0.25">
      <c r="A99" s="3" t="s">
        <v>93</v>
      </c>
      <c r="B99" s="17"/>
      <c r="C99" s="22">
        <f>SUM(C90:C98)</f>
        <v>10330</v>
      </c>
      <c r="D99" s="49">
        <f>((((((((D90)+(D91))+(D92))+(D93))+(D94))+(D95))+(D96))+(D97))+(D98)</f>
        <v>6128.7800000000007</v>
      </c>
      <c r="E99" s="49">
        <f>((((((((E90)+(E91))+(E92))+(E93))+(E94))+(E95))+(E96))+(E97))+(E98)</f>
        <v>8450</v>
      </c>
      <c r="F99" s="50">
        <f t="shared" si="5"/>
        <v>0.72529940828402373</v>
      </c>
      <c r="G99" s="29">
        <f>((((((((G90)+(G91))+(G92))+(G93))+(G94))+(G95))+(G96))+(G97))+(G98)</f>
        <v>7098.7</v>
      </c>
      <c r="H99" s="7">
        <f>((((((((H90)+(H91))+(H92))+(H93))+(H94))+(H95))+(H96))+(H97))+(H98)</f>
        <v>7098.7</v>
      </c>
      <c r="I99" s="15">
        <f t="shared" si="7"/>
        <v>1</v>
      </c>
      <c r="J99" s="7">
        <f>((((((((J90)+(J91))+(J92))+(J93))+(J94))+(J95))+(J96))+(J97))+(J98)</f>
        <v>5212.2</v>
      </c>
      <c r="K99" s="7">
        <f>((((((((K90)+(K91))+(K92))+(K93))+(K94))+(K95))+(K96))+(K97))+(K98)</f>
        <v>5750</v>
      </c>
      <c r="L99" s="8">
        <f t="shared" si="6"/>
        <v>0.9064695652173913</v>
      </c>
    </row>
    <row r="100" spans="1:15" x14ac:dyDescent="0.25">
      <c r="A100" s="3" t="s">
        <v>94</v>
      </c>
      <c r="B100" s="17"/>
      <c r="C100" s="12"/>
      <c r="D100" s="11"/>
      <c r="E100" s="11"/>
      <c r="F100" s="40"/>
      <c r="G100" s="27"/>
      <c r="H100" s="11"/>
      <c r="I100" s="14" t="str">
        <f t="shared" si="7"/>
        <v/>
      </c>
      <c r="J100" s="5">
        <f>236.16</f>
        <v>236.16</v>
      </c>
      <c r="K100" s="4"/>
      <c r="L100" s="6" t="str">
        <f t="shared" ref="L100:L102" si="9">IF(K100=0,"",(J100)/(K100))</f>
        <v/>
      </c>
    </row>
    <row r="101" spans="1:15" x14ac:dyDescent="0.25">
      <c r="A101" s="3" t="s">
        <v>95</v>
      </c>
      <c r="B101" s="69" t="s">
        <v>116</v>
      </c>
      <c r="C101" s="22">
        <f>C65+C72+C77+C83+C89+C99</f>
        <v>33220</v>
      </c>
      <c r="D101" s="29">
        <f>(((((((((((((((((((((((((D65)+(D72))+(D77))+(D83))+(D89))+(D99))+(D100))))))))))))))))))))</f>
        <v>12514.39</v>
      </c>
      <c r="E101" s="7">
        <f>(((((((((((((((((((((((((E65)+(E72))+(E77))+(E83))+(E89))+(E99))+(E100))))))))))))))))))))</f>
        <v>33330</v>
      </c>
      <c r="F101" s="15">
        <f t="shared" ref="F101:F102" si="10">IF(E101=0,"",(D101)/(E101))</f>
        <v>0.37546924692469247</v>
      </c>
      <c r="G101" s="29">
        <f>(((((((((((((((((((((((((G65)+(G72))+(G77))+(G83))+(G89))+(G99))+(G100))))))))))))))))))))</f>
        <v>31689.599999999999</v>
      </c>
      <c r="H101" s="7">
        <f>(((((((((((((((((((((((((H65)+(H72))+(H77))+(H83))+(H89))+(H99))+(H100))))))))))))))))))))</f>
        <v>31689.600000000002</v>
      </c>
      <c r="I101" s="15">
        <f t="shared" si="7"/>
        <v>0.99999999999999989</v>
      </c>
      <c r="J101" s="7">
        <f>(((((((((((((((((((((((((J65)+(J72))+(J77))+(J83))+(J89))+(J99))+(J100))))))))))))))))))))</f>
        <v>28513.71</v>
      </c>
      <c r="K101" s="68">
        <f>(((((((((((((((((((((((((K65)+(K72))+(K77))+(K83))+(K89))+(K99))+(K100))))))))))))))))))))</f>
        <v>35044</v>
      </c>
      <c r="L101" s="8">
        <f t="shared" si="9"/>
        <v>0.81365454856751507</v>
      </c>
      <c r="O101" s="24"/>
    </row>
    <row r="102" spans="1:15" x14ac:dyDescent="0.25">
      <c r="A102" s="3" t="s">
        <v>96</v>
      </c>
      <c r="B102" s="17"/>
      <c r="C102" s="22">
        <f>C49-C101</f>
        <v>-7663.1000000000022</v>
      </c>
      <c r="D102" s="29">
        <f>(D49)-(D101)</f>
        <v>12498.11</v>
      </c>
      <c r="E102" s="7">
        <f>(E49)-(E101)</f>
        <v>-6230.1999999999971</v>
      </c>
      <c r="F102" s="15">
        <f t="shared" si="10"/>
        <v>-2.0060527751918085</v>
      </c>
      <c r="G102" s="29">
        <f>(G49)-(G101)</f>
        <v>135.60000000000946</v>
      </c>
      <c r="H102" s="7">
        <f>(H49)-(H101)</f>
        <v>135.60000000000218</v>
      </c>
      <c r="I102" s="15">
        <f t="shared" si="7"/>
        <v>1.0000000000000537</v>
      </c>
      <c r="J102" s="7">
        <f>(J49)-(J101)</f>
        <v>3433.3899999999958</v>
      </c>
      <c r="K102" s="7">
        <f>(K49)-(K101)</f>
        <v>-1540</v>
      </c>
      <c r="L102" s="8">
        <f t="shared" si="9"/>
        <v>-2.2294740259740231</v>
      </c>
    </row>
    <row r="103" spans="1:15" x14ac:dyDescent="0.25">
      <c r="A103" s="3" t="s">
        <v>97</v>
      </c>
      <c r="B103" s="17"/>
      <c r="C103" s="12"/>
      <c r="D103" s="11"/>
      <c r="E103" s="11"/>
      <c r="F103" s="40"/>
      <c r="G103" s="27"/>
      <c r="H103" s="11"/>
      <c r="I103" s="14" t="str">
        <f t="shared" si="7"/>
        <v/>
      </c>
      <c r="J103" s="4"/>
      <c r="K103" s="4"/>
      <c r="L103" s="4"/>
    </row>
    <row r="104" spans="1:15" x14ac:dyDescent="0.25">
      <c r="A104" s="3" t="s">
        <v>98</v>
      </c>
      <c r="B104" s="17"/>
      <c r="C104" s="12"/>
      <c r="D104" s="11">
        <v>22.8</v>
      </c>
      <c r="E104" s="11"/>
      <c r="F104" s="40"/>
      <c r="G104" s="27">
        <v>223.4</v>
      </c>
      <c r="H104" s="11"/>
      <c r="I104" s="14" t="str">
        <f t="shared" si="7"/>
        <v/>
      </c>
      <c r="J104" s="4"/>
      <c r="K104" s="4"/>
      <c r="L104" s="6" t="str">
        <f>IF(K104=0,"",(J104)/(K104))</f>
        <v/>
      </c>
    </row>
    <row r="105" spans="1:15" x14ac:dyDescent="0.25">
      <c r="A105" s="3" t="s">
        <v>99</v>
      </c>
      <c r="B105" s="17"/>
      <c r="C105" s="12"/>
      <c r="D105" s="11"/>
      <c r="E105" s="11"/>
      <c r="F105" s="40"/>
      <c r="G105" s="27"/>
      <c r="H105" s="11"/>
      <c r="I105" s="14" t="str">
        <f t="shared" si="7"/>
        <v/>
      </c>
      <c r="J105" s="5">
        <f>540</f>
        <v>540</v>
      </c>
      <c r="K105" s="5">
        <f>540</f>
        <v>540</v>
      </c>
      <c r="L105" s="6">
        <f>IF(K105=0,"",(J105)/(K105))</f>
        <v>1</v>
      </c>
    </row>
    <row r="106" spans="1:15" x14ac:dyDescent="0.25">
      <c r="A106" s="3" t="s">
        <v>100</v>
      </c>
      <c r="B106" s="17"/>
      <c r="C106" s="22">
        <f>SUM(C103:C105)</f>
        <v>0</v>
      </c>
      <c r="D106" s="49">
        <f>(D104)+(D105)</f>
        <v>22.8</v>
      </c>
      <c r="E106" s="49">
        <f>(E104)+(E105)</f>
        <v>0</v>
      </c>
      <c r="F106" s="50" t="str">
        <f>IF(E106=0,"",(D106)/(E106))</f>
        <v/>
      </c>
      <c r="G106" s="29">
        <f>(G104)+(G105)</f>
        <v>223.4</v>
      </c>
      <c r="H106" s="7">
        <f>(H104)+(H105)</f>
        <v>0</v>
      </c>
      <c r="I106" s="15" t="str">
        <f>IF(H106=0,"",(G106)/(H106))</f>
        <v/>
      </c>
      <c r="J106" s="7">
        <f>(J104)+(J105)</f>
        <v>540</v>
      </c>
      <c r="K106" s="7">
        <f>(K104)+(K105)</f>
        <v>540</v>
      </c>
      <c r="L106" s="8">
        <f>IF(K106=0,"",(J106)/(K106))</f>
        <v>1</v>
      </c>
    </row>
    <row r="107" spans="1:15" x14ac:dyDescent="0.25">
      <c r="A107" s="3" t="s">
        <v>101</v>
      </c>
      <c r="B107" s="17"/>
      <c r="C107" s="12"/>
      <c r="D107" s="11"/>
      <c r="E107" s="11"/>
      <c r="F107" s="40"/>
      <c r="G107" s="27"/>
      <c r="H107" s="11"/>
      <c r="I107" s="14" t="str">
        <f t="shared" si="7"/>
        <v/>
      </c>
      <c r="J107" s="4"/>
      <c r="K107" s="4"/>
      <c r="L107" s="4"/>
    </row>
    <row r="108" spans="1:15" x14ac:dyDescent="0.25">
      <c r="A108" s="3" t="s">
        <v>102</v>
      </c>
      <c r="B108" s="17"/>
      <c r="C108" s="12"/>
      <c r="D108" s="11"/>
      <c r="E108" s="11"/>
      <c r="F108" s="40"/>
      <c r="G108" s="27"/>
      <c r="H108" s="11"/>
      <c r="I108" s="14" t="str">
        <f t="shared" si="7"/>
        <v/>
      </c>
      <c r="J108" s="4"/>
      <c r="K108" s="4"/>
      <c r="L108" s="6" t="str">
        <f>IF(K108=0,"",(J108)/(K108))</f>
        <v/>
      </c>
    </row>
    <row r="109" spans="1:15" x14ac:dyDescent="0.25">
      <c r="A109" s="3" t="s">
        <v>103</v>
      </c>
      <c r="B109" s="17"/>
      <c r="C109" s="22">
        <f>C107+C108</f>
        <v>0</v>
      </c>
      <c r="D109" s="49">
        <f>D108</f>
        <v>0</v>
      </c>
      <c r="E109" s="49">
        <f>E108</f>
        <v>0</v>
      </c>
      <c r="F109" s="50" t="str">
        <f>IF(E109=0,"",(D109)/(E109))</f>
        <v/>
      </c>
      <c r="G109" s="29">
        <f>G108</f>
        <v>0</v>
      </c>
      <c r="H109" s="7">
        <f>H108</f>
        <v>0</v>
      </c>
      <c r="I109" s="15" t="str">
        <f>IF(H109=0,"",(G109)/(H109))</f>
        <v/>
      </c>
      <c r="J109" s="7">
        <f>J108</f>
        <v>0</v>
      </c>
      <c r="K109" s="7">
        <f>K108</f>
        <v>0</v>
      </c>
      <c r="L109" s="8" t="str">
        <f>IF(K109=0,"",(J109)/(K109))</f>
        <v/>
      </c>
    </row>
    <row r="110" spans="1:15" x14ac:dyDescent="0.25">
      <c r="A110" s="3" t="s">
        <v>104</v>
      </c>
      <c r="B110" s="17"/>
      <c r="C110" s="22">
        <f>C106-C109</f>
        <v>0</v>
      </c>
      <c r="D110" s="49">
        <f>(D106)-(D109)</f>
        <v>22.8</v>
      </c>
      <c r="E110" s="49">
        <f>(E106)-(E109)</f>
        <v>0</v>
      </c>
      <c r="F110" s="50" t="str">
        <f>IF(E110=0,"",(D110)/(E110))</f>
        <v/>
      </c>
      <c r="G110" s="29">
        <f>(G106)-(G109)</f>
        <v>223.4</v>
      </c>
      <c r="H110" s="7">
        <f>(H106)-(H109)</f>
        <v>0</v>
      </c>
      <c r="I110" s="15" t="str">
        <f>IF(H110=0,"",(G110)/(H110))</f>
        <v/>
      </c>
      <c r="J110" s="7">
        <f>(J106)-(J109)</f>
        <v>540</v>
      </c>
      <c r="K110" s="7">
        <f>(K106)-(K109)</f>
        <v>540</v>
      </c>
      <c r="L110" s="8">
        <f>IF(K110=0,"",(J110)/(K110))</f>
        <v>1</v>
      </c>
    </row>
    <row r="111" spans="1:15" x14ac:dyDescent="0.25">
      <c r="A111" s="3" t="s">
        <v>105</v>
      </c>
      <c r="B111" s="70" t="s">
        <v>227</v>
      </c>
      <c r="C111" s="22">
        <f>C102+C110</f>
        <v>-7663.1000000000022</v>
      </c>
      <c r="D111" s="49">
        <f>(D102)+(D110)</f>
        <v>12520.91</v>
      </c>
      <c r="E111" s="49">
        <f>(E102)+(E110)</f>
        <v>-6230.1999999999971</v>
      </c>
      <c r="F111" s="50">
        <f>IF(E111=0,"",(D111)/(E111))</f>
        <v>-2.0097123687843097</v>
      </c>
      <c r="G111" s="29">
        <f>(G102)+(G110)</f>
        <v>359.00000000000944</v>
      </c>
      <c r="H111" s="7">
        <f>(H102)+(H110)</f>
        <v>135.60000000000218</v>
      </c>
      <c r="I111" s="15">
        <f>IF(H111=0,"",(G111)/(H111))</f>
        <v>2.6474926253687587</v>
      </c>
      <c r="J111" s="7">
        <f>(J102)+(J110)</f>
        <v>3973.3899999999958</v>
      </c>
      <c r="K111" s="7">
        <f>(K102)+(K110)</f>
        <v>-1000</v>
      </c>
      <c r="L111" s="8">
        <f>IF(K111=0,"",(J111)/(K111))</f>
        <v>-3.9733899999999958</v>
      </c>
    </row>
    <row r="112" spans="1:15" x14ac:dyDescent="0.25">
      <c r="A112" s="3"/>
      <c r="B112" s="17"/>
      <c r="C112" s="21"/>
      <c r="D112" s="88"/>
      <c r="E112" s="89"/>
      <c r="F112" s="90"/>
      <c r="G112" s="81"/>
      <c r="H112" s="82"/>
      <c r="I112" s="83"/>
    </row>
    <row r="113" spans="1:9" ht="34.5" x14ac:dyDescent="0.25">
      <c r="A113" s="16" t="s">
        <v>115</v>
      </c>
      <c r="B113" s="17" t="s">
        <v>113</v>
      </c>
      <c r="C113" s="21">
        <v>1230</v>
      </c>
      <c r="D113" s="91" t="s">
        <v>161</v>
      </c>
      <c r="E113" s="89"/>
      <c r="F113" s="90"/>
      <c r="G113" s="30"/>
      <c r="H113" s="31"/>
      <c r="I113" s="32"/>
    </row>
    <row r="114" spans="1:9" x14ac:dyDescent="0.25">
      <c r="A114" s="16"/>
      <c r="B114" s="17" t="s">
        <v>114</v>
      </c>
      <c r="C114" s="21">
        <v>6433.1</v>
      </c>
      <c r="D114" s="13"/>
      <c r="E114" s="13"/>
      <c r="F114" s="39"/>
      <c r="G114" s="30"/>
      <c r="H114" s="31"/>
      <c r="I114" s="32"/>
    </row>
    <row r="115" spans="1:9" x14ac:dyDescent="0.25">
      <c r="A115" s="25"/>
      <c r="B115" s="17" t="s">
        <v>158</v>
      </c>
      <c r="C115" s="22">
        <f>SUM(C113:C114)</f>
        <v>7663.1</v>
      </c>
      <c r="D115" s="37"/>
      <c r="E115" s="37"/>
      <c r="F115" s="42"/>
      <c r="G115" s="74"/>
      <c r="H115" s="75"/>
      <c r="I115" s="76"/>
    </row>
    <row r="117" spans="1:9" ht="18" x14ac:dyDescent="0.25">
      <c r="A117" s="72" t="s">
        <v>146</v>
      </c>
      <c r="B117" s="72"/>
      <c r="C117" s="72"/>
    </row>
    <row r="118" spans="1:9" x14ac:dyDescent="0.25">
      <c r="A118" s="73" t="s">
        <v>138</v>
      </c>
      <c r="B118" s="73"/>
      <c r="C118" s="73"/>
    </row>
    <row r="119" spans="1:9" x14ac:dyDescent="0.25">
      <c r="A119" s="16" t="s">
        <v>139</v>
      </c>
      <c r="B119" s="17"/>
      <c r="C119" s="46">
        <f>5707.37</f>
        <v>5707.37</v>
      </c>
    </row>
    <row r="120" spans="1:9" x14ac:dyDescent="0.25">
      <c r="A120" s="16" t="s">
        <v>140</v>
      </c>
      <c r="B120" s="46"/>
      <c r="C120" s="46">
        <f>24646.36</f>
        <v>24646.36</v>
      </c>
    </row>
  </sheetData>
  <mergeCells count="13">
    <mergeCell ref="A117:C117"/>
    <mergeCell ref="A118:C118"/>
    <mergeCell ref="G115:I115"/>
    <mergeCell ref="J5:L5"/>
    <mergeCell ref="A1:L1"/>
    <mergeCell ref="A2:L2"/>
    <mergeCell ref="A3:L3"/>
    <mergeCell ref="G112:I112"/>
    <mergeCell ref="B5:C5"/>
    <mergeCell ref="G5:I5"/>
    <mergeCell ref="D5:F5"/>
    <mergeCell ref="D112:F112"/>
    <mergeCell ref="D113:F113"/>
  </mergeCells>
  <pageMargins left="0.25" right="0.25" top="0.75" bottom="0.75" header="0.3" footer="0.3"/>
  <pageSetup scale="66" fitToHeight="0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00911-BBFD-43C5-844B-30A5EB779421}">
  <sheetPr>
    <pageSetUpPr fitToPage="1"/>
  </sheetPr>
  <dimension ref="A1:P129"/>
  <sheetViews>
    <sheetView zoomScaleNormal="100" workbookViewId="0">
      <pane ySplit="6" topLeftCell="A7" activePane="bottomLeft" state="frozen"/>
      <selection pane="bottomLeft" activeCell="N56" sqref="N56:O58"/>
    </sheetView>
  </sheetViews>
  <sheetFormatPr defaultRowHeight="15" x14ac:dyDescent="0.25"/>
  <cols>
    <col min="1" max="1" width="36.85546875" bestFit="1" customWidth="1"/>
    <col min="2" max="2" width="27.7109375" style="18" customWidth="1"/>
    <col min="3" max="5" width="13.7109375" style="19" customWidth="1"/>
    <col min="6" max="6" width="13.7109375" style="43" customWidth="1"/>
    <col min="7" max="12" width="13.7109375" customWidth="1"/>
  </cols>
  <sheetData>
    <row r="1" spans="1:12" ht="18" x14ac:dyDescent="0.25">
      <c r="A1" s="79" t="s">
        <v>106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8" x14ac:dyDescent="0.25">
      <c r="A2" s="72" t="s">
        <v>109</v>
      </c>
      <c r="B2" s="72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5">
      <c r="A3" s="73" t="s">
        <v>134</v>
      </c>
      <c r="B3" s="73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x14ac:dyDescent="0.25">
      <c r="A4" s="27"/>
    </row>
    <row r="5" spans="1:12" x14ac:dyDescent="0.25">
      <c r="A5" s="1"/>
      <c r="B5" s="84" t="s">
        <v>135</v>
      </c>
      <c r="C5" s="85"/>
      <c r="D5" s="92" t="s">
        <v>121</v>
      </c>
      <c r="E5" s="78"/>
      <c r="F5" s="78"/>
      <c r="G5" s="86" t="s">
        <v>107</v>
      </c>
      <c r="H5" s="78"/>
      <c r="I5" s="87"/>
      <c r="J5" s="77" t="s">
        <v>108</v>
      </c>
      <c r="K5" s="78"/>
      <c r="L5" s="78"/>
    </row>
    <row r="6" spans="1:12" x14ac:dyDescent="0.25">
      <c r="A6" s="1"/>
      <c r="B6" s="35" t="s">
        <v>110</v>
      </c>
      <c r="C6" s="20" t="s">
        <v>1</v>
      </c>
      <c r="D6" s="26" t="s">
        <v>0</v>
      </c>
      <c r="E6" s="9" t="s">
        <v>1</v>
      </c>
      <c r="F6" s="45" t="s">
        <v>2</v>
      </c>
      <c r="G6" s="26" t="s">
        <v>0</v>
      </c>
      <c r="H6" s="9" t="s">
        <v>1</v>
      </c>
      <c r="I6" s="10" t="s">
        <v>2</v>
      </c>
      <c r="J6" s="9" t="s">
        <v>0</v>
      </c>
      <c r="K6" s="9" t="s">
        <v>1</v>
      </c>
      <c r="L6" s="9" t="s">
        <v>2</v>
      </c>
    </row>
    <row r="7" spans="1:12" x14ac:dyDescent="0.25">
      <c r="A7" s="3" t="s">
        <v>3</v>
      </c>
      <c r="B7" s="17"/>
      <c r="C7" s="21"/>
      <c r="D7" s="36"/>
      <c r="E7" s="36"/>
      <c r="F7" s="38"/>
      <c r="G7" s="27"/>
      <c r="H7" s="11"/>
      <c r="I7" s="44"/>
      <c r="J7" s="4"/>
      <c r="K7" s="4"/>
      <c r="L7" s="4"/>
    </row>
    <row r="8" spans="1:12" x14ac:dyDescent="0.25">
      <c r="A8" s="3" t="s">
        <v>4</v>
      </c>
      <c r="B8" s="17" t="s">
        <v>130</v>
      </c>
      <c r="C8" s="21">
        <v>561.20000000000005</v>
      </c>
      <c r="D8" s="46">
        <v>174.5</v>
      </c>
      <c r="E8" s="46">
        <f>174.5</f>
        <v>174.5</v>
      </c>
      <c r="F8" s="47">
        <f t="shared" ref="F8:F46" si="0">IF(E8=0,"",(D8)/(E8))</f>
        <v>1</v>
      </c>
      <c r="G8" s="28">
        <v>135.6</v>
      </c>
      <c r="H8" s="13">
        <v>135.6</v>
      </c>
      <c r="I8" s="14">
        <f t="shared" ref="I8:I71" si="1">IF(H8=0,"",(G8)/(H8))</f>
        <v>1</v>
      </c>
      <c r="J8" s="4"/>
      <c r="K8" s="4"/>
      <c r="L8" s="6" t="str">
        <f t="shared" ref="L8:L49" si="2">IF(K8=0,"",(J8)/(K8))</f>
        <v/>
      </c>
    </row>
    <row r="9" spans="1:12" x14ac:dyDescent="0.25">
      <c r="A9" s="3" t="s">
        <v>5</v>
      </c>
      <c r="B9" s="17"/>
      <c r="C9" s="21">
        <v>856.2</v>
      </c>
      <c r="D9" s="46">
        <v>868.7</v>
      </c>
      <c r="E9" s="46">
        <f>868.7</f>
        <v>868.7</v>
      </c>
      <c r="F9" s="47">
        <f t="shared" si="0"/>
        <v>1</v>
      </c>
      <c r="G9" s="28">
        <v>1140</v>
      </c>
      <c r="H9" s="13">
        <v>1140</v>
      </c>
      <c r="I9" s="14">
        <f t="shared" si="1"/>
        <v>1</v>
      </c>
      <c r="J9" s="5">
        <f>1131.2</f>
        <v>1131.2</v>
      </c>
      <c r="K9" s="5">
        <f>1131.2</f>
        <v>1131.2</v>
      </c>
      <c r="L9" s="6">
        <f t="shared" si="2"/>
        <v>1</v>
      </c>
    </row>
    <row r="10" spans="1:12" x14ac:dyDescent="0.25">
      <c r="A10" s="3" t="s">
        <v>6</v>
      </c>
      <c r="B10" s="17"/>
      <c r="C10" s="21">
        <v>520.9</v>
      </c>
      <c r="D10" s="55"/>
      <c r="E10" s="46">
        <f>606.3</f>
        <v>606.29999999999995</v>
      </c>
      <c r="F10" s="47">
        <f t="shared" si="0"/>
        <v>0</v>
      </c>
      <c r="G10" s="28">
        <v>1260.5</v>
      </c>
      <c r="H10" s="13">
        <v>1260.5</v>
      </c>
      <c r="I10" s="14">
        <f t="shared" si="1"/>
        <v>1</v>
      </c>
      <c r="J10" s="5">
        <f>1271.8</f>
        <v>1271.8</v>
      </c>
      <c r="K10" s="5">
        <f>1271.8</f>
        <v>1271.8</v>
      </c>
      <c r="L10" s="6">
        <f t="shared" si="2"/>
        <v>1</v>
      </c>
    </row>
    <row r="11" spans="1:12" x14ac:dyDescent="0.25">
      <c r="A11" s="3" t="s">
        <v>7</v>
      </c>
      <c r="B11" s="17"/>
      <c r="C11" s="21">
        <v>1186.4000000000001</v>
      </c>
      <c r="D11" s="46">
        <v>1214</v>
      </c>
      <c r="E11" s="46">
        <f>1214</f>
        <v>1214</v>
      </c>
      <c r="F11" s="47">
        <f t="shared" si="0"/>
        <v>1</v>
      </c>
      <c r="G11" s="28">
        <v>1354.7</v>
      </c>
      <c r="H11" s="13">
        <v>1354.7</v>
      </c>
      <c r="I11" s="14">
        <f t="shared" si="1"/>
        <v>1</v>
      </c>
      <c r="J11" s="5">
        <f>1151.3</f>
        <v>1151.3</v>
      </c>
      <c r="K11" s="5">
        <f>1151.3</f>
        <v>1151.3</v>
      </c>
      <c r="L11" s="6">
        <f t="shared" si="2"/>
        <v>1</v>
      </c>
    </row>
    <row r="12" spans="1:12" x14ac:dyDescent="0.25">
      <c r="A12" s="3" t="s">
        <v>8</v>
      </c>
      <c r="B12" s="17"/>
      <c r="C12" s="21">
        <v>596.29999999999995</v>
      </c>
      <c r="D12" s="46">
        <v>632.70000000000005</v>
      </c>
      <c r="E12" s="46">
        <f>632.7</f>
        <v>632.70000000000005</v>
      </c>
      <c r="F12" s="47">
        <f t="shared" si="0"/>
        <v>1</v>
      </c>
      <c r="G12" s="28">
        <v>603.79999999999995</v>
      </c>
      <c r="H12" s="13">
        <v>603.79999999999995</v>
      </c>
      <c r="I12" s="14">
        <f t="shared" si="1"/>
        <v>1</v>
      </c>
      <c r="J12" s="5">
        <f>541</f>
        <v>541</v>
      </c>
      <c r="K12" s="5">
        <f>541</f>
        <v>541</v>
      </c>
      <c r="L12" s="6">
        <f t="shared" si="2"/>
        <v>1</v>
      </c>
    </row>
    <row r="13" spans="1:12" x14ac:dyDescent="0.25">
      <c r="A13" s="3" t="s">
        <v>9</v>
      </c>
      <c r="B13" s="17"/>
      <c r="C13" s="21">
        <v>413</v>
      </c>
      <c r="D13" s="55"/>
      <c r="E13" s="46">
        <f>433.1</f>
        <v>433.1</v>
      </c>
      <c r="F13" s="47">
        <f t="shared" si="0"/>
        <v>0</v>
      </c>
      <c r="G13" s="28">
        <v>433.1</v>
      </c>
      <c r="H13" s="13">
        <v>433.1</v>
      </c>
      <c r="I13" s="14">
        <f t="shared" si="1"/>
        <v>1</v>
      </c>
      <c r="J13" s="5">
        <f>435.6</f>
        <v>435.6</v>
      </c>
      <c r="K13" s="5">
        <f>435.6</f>
        <v>435.6</v>
      </c>
      <c r="L13" s="6">
        <f t="shared" si="2"/>
        <v>1</v>
      </c>
    </row>
    <row r="14" spans="1:12" x14ac:dyDescent="0.25">
      <c r="A14" s="3" t="s">
        <v>10</v>
      </c>
      <c r="B14" s="17"/>
      <c r="C14" s="21">
        <v>1682.4</v>
      </c>
      <c r="D14" s="62">
        <v>1664.8</v>
      </c>
      <c r="E14" s="46">
        <f>1664.8</f>
        <v>1664.8</v>
      </c>
      <c r="F14" s="47">
        <f t="shared" si="0"/>
        <v>1</v>
      </c>
      <c r="G14" s="28">
        <v>1515.4</v>
      </c>
      <c r="H14" s="13">
        <v>1515.4</v>
      </c>
      <c r="I14" s="14">
        <f t="shared" si="1"/>
        <v>1</v>
      </c>
      <c r="J14" s="5">
        <f>1515.4</f>
        <v>1515.4</v>
      </c>
      <c r="K14" s="5">
        <f>1512.9</f>
        <v>1512.9</v>
      </c>
      <c r="L14" s="6">
        <f t="shared" si="2"/>
        <v>1.0016524555489457</v>
      </c>
    </row>
    <row r="15" spans="1:12" x14ac:dyDescent="0.25">
      <c r="A15" s="3" t="s">
        <v>11</v>
      </c>
      <c r="B15" s="17"/>
      <c r="C15" s="21">
        <v>409.2</v>
      </c>
      <c r="D15" s="60">
        <v>440.6</v>
      </c>
      <c r="E15" s="46">
        <f>440.6</f>
        <v>440.6</v>
      </c>
      <c r="F15" s="47">
        <f t="shared" si="0"/>
        <v>1</v>
      </c>
      <c r="G15" s="28">
        <v>588.79999999999995</v>
      </c>
      <c r="H15" s="13">
        <v>588.79999999999995</v>
      </c>
      <c r="I15" s="14">
        <f t="shared" si="1"/>
        <v>1</v>
      </c>
      <c r="J15" s="5">
        <f>588.8</f>
        <v>588.79999999999995</v>
      </c>
      <c r="K15" s="5">
        <f>588.8</f>
        <v>588.79999999999995</v>
      </c>
      <c r="L15" s="6">
        <f t="shared" si="2"/>
        <v>1</v>
      </c>
    </row>
    <row r="16" spans="1:12" x14ac:dyDescent="0.25">
      <c r="A16" s="3" t="s">
        <v>12</v>
      </c>
      <c r="B16" s="17"/>
      <c r="C16" s="21">
        <v>787.2</v>
      </c>
      <c r="D16" s="63">
        <v>767.1</v>
      </c>
      <c r="E16" s="46">
        <f>767.1</f>
        <v>767.1</v>
      </c>
      <c r="F16" s="47">
        <f t="shared" si="0"/>
        <v>1</v>
      </c>
      <c r="G16" s="28">
        <v>906.5</v>
      </c>
      <c r="H16" s="13">
        <v>906.5</v>
      </c>
      <c r="I16" s="14">
        <f t="shared" si="1"/>
        <v>1</v>
      </c>
      <c r="J16" s="5">
        <f>985.6</f>
        <v>985.6</v>
      </c>
      <c r="K16" s="5">
        <f>985.6</f>
        <v>985.6</v>
      </c>
      <c r="L16" s="6">
        <f t="shared" si="2"/>
        <v>1</v>
      </c>
    </row>
    <row r="17" spans="1:12" x14ac:dyDescent="0.25">
      <c r="A17" s="3" t="s">
        <v>13</v>
      </c>
      <c r="B17" s="17"/>
      <c r="C17" s="21">
        <v>587.5</v>
      </c>
      <c r="D17" s="62">
        <v>646.5</v>
      </c>
      <c r="E17" s="46">
        <f>646.5</f>
        <v>646.5</v>
      </c>
      <c r="F17" s="47">
        <f t="shared" si="0"/>
        <v>1</v>
      </c>
      <c r="G17" s="28">
        <v>817.3</v>
      </c>
      <c r="H17" s="13">
        <v>817.3</v>
      </c>
      <c r="I17" s="14">
        <f t="shared" si="1"/>
        <v>1</v>
      </c>
      <c r="J17" s="5">
        <f>919</f>
        <v>919</v>
      </c>
      <c r="K17" s="5">
        <f>919</f>
        <v>919</v>
      </c>
      <c r="L17" s="6">
        <f t="shared" si="2"/>
        <v>1</v>
      </c>
    </row>
    <row r="18" spans="1:12" x14ac:dyDescent="0.25">
      <c r="A18" s="3" t="s">
        <v>14</v>
      </c>
      <c r="B18" s="17"/>
      <c r="C18" s="21">
        <v>361.5</v>
      </c>
      <c r="D18" s="63">
        <v>384.1</v>
      </c>
      <c r="E18" s="46">
        <f>384.1</f>
        <v>384.1</v>
      </c>
      <c r="F18" s="47">
        <f t="shared" si="0"/>
        <v>1</v>
      </c>
      <c r="G18" s="28">
        <v>813.5</v>
      </c>
      <c r="H18" s="13">
        <v>813.5</v>
      </c>
      <c r="I18" s="14">
        <f t="shared" si="1"/>
        <v>1</v>
      </c>
      <c r="J18" s="5">
        <f>901.4</f>
        <v>901.4</v>
      </c>
      <c r="K18" s="5">
        <f>901.4</f>
        <v>901.4</v>
      </c>
      <c r="L18" s="6">
        <f t="shared" si="2"/>
        <v>1</v>
      </c>
    </row>
    <row r="19" spans="1:12" x14ac:dyDescent="0.25">
      <c r="A19" s="3" t="s">
        <v>15</v>
      </c>
      <c r="B19" s="17"/>
      <c r="C19" s="21">
        <v>541.1</v>
      </c>
      <c r="D19" s="63">
        <v>608.9</v>
      </c>
      <c r="E19" s="46">
        <f>608.9</f>
        <v>608.9</v>
      </c>
      <c r="F19" s="47">
        <f t="shared" si="0"/>
        <v>1</v>
      </c>
      <c r="G19" s="28">
        <v>577.5</v>
      </c>
      <c r="H19" s="13">
        <v>577.5</v>
      </c>
      <c r="I19" s="14">
        <f t="shared" si="1"/>
        <v>1</v>
      </c>
      <c r="J19" s="5">
        <f>597.6</f>
        <v>597.6</v>
      </c>
      <c r="K19" s="5">
        <f>597.6</f>
        <v>597.6</v>
      </c>
      <c r="L19" s="6">
        <f t="shared" si="2"/>
        <v>1</v>
      </c>
    </row>
    <row r="20" spans="1:12" x14ac:dyDescent="0.25">
      <c r="A20" s="3" t="s">
        <v>16</v>
      </c>
      <c r="B20" s="17"/>
      <c r="C20" s="21">
        <v>955.3</v>
      </c>
      <c r="D20" s="62">
        <v>991.7</v>
      </c>
      <c r="E20" s="46">
        <f>991.7</f>
        <v>991.7</v>
      </c>
      <c r="F20" s="47">
        <f t="shared" si="0"/>
        <v>1</v>
      </c>
      <c r="G20" s="28">
        <v>1212.7</v>
      </c>
      <c r="H20" s="13">
        <v>1212.7</v>
      </c>
      <c r="I20" s="14">
        <f t="shared" si="1"/>
        <v>1</v>
      </c>
      <c r="J20" s="5">
        <f>1278</f>
        <v>1278</v>
      </c>
      <c r="K20" s="5">
        <f>1278</f>
        <v>1278</v>
      </c>
      <c r="L20" s="6">
        <f t="shared" si="2"/>
        <v>1</v>
      </c>
    </row>
    <row r="21" spans="1:12" x14ac:dyDescent="0.25">
      <c r="A21" s="3" t="s">
        <v>17</v>
      </c>
      <c r="B21" s="17"/>
      <c r="C21" s="21">
        <v>485.9</v>
      </c>
      <c r="D21" s="62">
        <v>533.6</v>
      </c>
      <c r="E21" s="46">
        <f>533.6</f>
        <v>533.6</v>
      </c>
      <c r="F21" s="47">
        <f t="shared" si="0"/>
        <v>1</v>
      </c>
      <c r="G21" s="28">
        <v>621.5</v>
      </c>
      <c r="H21" s="13">
        <v>621.5</v>
      </c>
      <c r="I21" s="14">
        <f t="shared" si="1"/>
        <v>1</v>
      </c>
      <c r="J21" s="5">
        <f>553.7</f>
        <v>553.70000000000005</v>
      </c>
      <c r="K21" s="5">
        <f>553.7</f>
        <v>553.70000000000005</v>
      </c>
      <c r="L21" s="6">
        <f t="shared" si="2"/>
        <v>1</v>
      </c>
    </row>
    <row r="22" spans="1:12" x14ac:dyDescent="0.25">
      <c r="A22" s="3" t="s">
        <v>18</v>
      </c>
      <c r="B22" s="17"/>
      <c r="C22" s="21">
        <v>701.8</v>
      </c>
      <c r="D22" s="46">
        <v>693</v>
      </c>
      <c r="E22" s="46">
        <f>693</f>
        <v>693</v>
      </c>
      <c r="F22" s="47">
        <f t="shared" si="0"/>
        <v>1</v>
      </c>
      <c r="G22" s="28">
        <v>704.3</v>
      </c>
      <c r="H22" s="13">
        <v>704.3</v>
      </c>
      <c r="I22" s="14">
        <f t="shared" si="1"/>
        <v>1</v>
      </c>
      <c r="J22" s="5">
        <f>498.4</f>
        <v>498.4</v>
      </c>
      <c r="K22" s="5">
        <f>498.4</f>
        <v>498.4</v>
      </c>
      <c r="L22" s="6">
        <f t="shared" si="2"/>
        <v>1</v>
      </c>
    </row>
    <row r="23" spans="1:12" x14ac:dyDescent="0.25">
      <c r="A23" s="3" t="s">
        <v>19</v>
      </c>
      <c r="B23" s="17"/>
      <c r="C23" s="21">
        <v>578.70000000000005</v>
      </c>
      <c r="D23" s="55"/>
      <c r="E23" s="46">
        <f>567.4</f>
        <v>567.4</v>
      </c>
      <c r="F23" s="47">
        <f t="shared" si="0"/>
        <v>0</v>
      </c>
      <c r="G23" s="27">
        <v>1024.5</v>
      </c>
      <c r="H23" s="13">
        <v>1024.5</v>
      </c>
      <c r="I23" s="14">
        <f t="shared" si="1"/>
        <v>1</v>
      </c>
      <c r="J23" s="5">
        <f>947.9</f>
        <v>947.9</v>
      </c>
      <c r="K23" s="5">
        <f>947.9</f>
        <v>947.9</v>
      </c>
      <c r="L23" s="6">
        <f t="shared" si="2"/>
        <v>1</v>
      </c>
    </row>
    <row r="24" spans="1:12" x14ac:dyDescent="0.25">
      <c r="A24" s="3" t="s">
        <v>20</v>
      </c>
      <c r="B24" s="17"/>
      <c r="C24" s="12">
        <v>252.3</v>
      </c>
      <c r="D24" s="48">
        <v>263.60000000000002</v>
      </c>
      <c r="E24" s="46">
        <f>263.6</f>
        <v>263.60000000000002</v>
      </c>
      <c r="F24" s="47">
        <f t="shared" si="0"/>
        <v>1</v>
      </c>
      <c r="G24" s="28">
        <v>286.2</v>
      </c>
      <c r="H24" s="13">
        <v>286.2</v>
      </c>
      <c r="I24" s="14">
        <f t="shared" si="1"/>
        <v>1</v>
      </c>
      <c r="J24" s="5">
        <f>430.6</f>
        <v>430.6</v>
      </c>
      <c r="K24" s="5">
        <f>430.6</f>
        <v>430.6</v>
      </c>
      <c r="L24" s="6">
        <f t="shared" si="2"/>
        <v>1</v>
      </c>
    </row>
    <row r="25" spans="1:12" x14ac:dyDescent="0.25">
      <c r="A25" s="3" t="s">
        <v>21</v>
      </c>
      <c r="B25" s="17"/>
      <c r="C25" s="21">
        <v>337.7</v>
      </c>
      <c r="D25" s="46">
        <v>351.5</v>
      </c>
      <c r="E25" s="46">
        <f>351.5</f>
        <v>351.5</v>
      </c>
      <c r="F25" s="47">
        <f t="shared" si="0"/>
        <v>1</v>
      </c>
      <c r="G25" s="28">
        <v>351.5</v>
      </c>
      <c r="H25" s="13">
        <v>351.5</v>
      </c>
      <c r="I25" s="14">
        <f t="shared" si="1"/>
        <v>1</v>
      </c>
      <c r="J25" s="5">
        <f>408</f>
        <v>408</v>
      </c>
      <c r="K25" s="5">
        <f>408</f>
        <v>408</v>
      </c>
      <c r="L25" s="6">
        <f t="shared" si="2"/>
        <v>1</v>
      </c>
    </row>
    <row r="26" spans="1:12" x14ac:dyDescent="0.25">
      <c r="A26" s="3" t="s">
        <v>22</v>
      </c>
      <c r="B26" s="17"/>
      <c r="C26" s="21">
        <v>891.4</v>
      </c>
      <c r="D26" s="46">
        <v>873.8</v>
      </c>
      <c r="E26" s="46">
        <f>873.8</f>
        <v>873.8</v>
      </c>
      <c r="F26" s="47">
        <f t="shared" si="0"/>
        <v>1</v>
      </c>
      <c r="G26" s="28">
        <v>860</v>
      </c>
      <c r="H26" s="13">
        <v>860</v>
      </c>
      <c r="I26" s="14">
        <f t="shared" si="1"/>
        <v>1</v>
      </c>
      <c r="J26" s="5">
        <f>905.2</f>
        <v>905.2</v>
      </c>
      <c r="K26" s="5">
        <f>905.2</f>
        <v>905.2</v>
      </c>
      <c r="L26" s="6">
        <f t="shared" si="2"/>
        <v>1</v>
      </c>
    </row>
    <row r="27" spans="1:12" x14ac:dyDescent="0.25">
      <c r="A27" s="3" t="s">
        <v>23</v>
      </c>
      <c r="B27" s="17"/>
      <c r="C27" s="21">
        <v>946.6</v>
      </c>
      <c r="D27" s="46">
        <v>1204</v>
      </c>
      <c r="E27" s="46">
        <f>1204</f>
        <v>1204</v>
      </c>
      <c r="F27" s="47">
        <f t="shared" si="0"/>
        <v>1</v>
      </c>
      <c r="G27" s="28">
        <v>1373.5</v>
      </c>
      <c r="H27" s="13">
        <v>1373.5</v>
      </c>
      <c r="I27" s="14">
        <f t="shared" si="1"/>
        <v>1</v>
      </c>
      <c r="J27" s="5">
        <f>1367.2</f>
        <v>1367.2</v>
      </c>
      <c r="K27" s="5">
        <f>1367.2</f>
        <v>1367.2</v>
      </c>
      <c r="L27" s="6">
        <f t="shared" si="2"/>
        <v>1</v>
      </c>
    </row>
    <row r="28" spans="1:12" x14ac:dyDescent="0.25">
      <c r="A28" s="3" t="s">
        <v>24</v>
      </c>
      <c r="B28" s="17"/>
      <c r="C28" s="21">
        <v>694.2</v>
      </c>
      <c r="D28" s="48">
        <v>719.3</v>
      </c>
      <c r="E28" s="46">
        <f>719.3</f>
        <v>719.3</v>
      </c>
      <c r="F28" s="47">
        <f t="shared" si="0"/>
        <v>1</v>
      </c>
      <c r="G28" s="28">
        <v>753.2</v>
      </c>
      <c r="H28" s="13">
        <v>753.2</v>
      </c>
      <c r="I28" s="14">
        <f t="shared" si="1"/>
        <v>1</v>
      </c>
      <c r="J28" s="5">
        <f>847.4</f>
        <v>847.4</v>
      </c>
      <c r="K28" s="5">
        <f>847.4</f>
        <v>847.4</v>
      </c>
      <c r="L28" s="6">
        <f t="shared" si="2"/>
        <v>1</v>
      </c>
    </row>
    <row r="29" spans="1:12" x14ac:dyDescent="0.25">
      <c r="A29" s="3" t="s">
        <v>25</v>
      </c>
      <c r="B29" s="17"/>
      <c r="C29" s="21">
        <v>1571.9</v>
      </c>
      <c r="D29" s="46">
        <v>1673.6</v>
      </c>
      <c r="E29" s="46">
        <f>1673.6</f>
        <v>1673.6</v>
      </c>
      <c r="F29" s="47">
        <f t="shared" si="0"/>
        <v>1</v>
      </c>
      <c r="G29" s="28">
        <v>1870.7</v>
      </c>
      <c r="H29" s="13">
        <v>1870.7</v>
      </c>
      <c r="I29" s="14">
        <f t="shared" si="1"/>
        <v>1</v>
      </c>
      <c r="J29" s="5">
        <f>2035.2</f>
        <v>2035.2</v>
      </c>
      <c r="K29" s="5">
        <f>2035.2</f>
        <v>2035.2</v>
      </c>
      <c r="L29" s="6">
        <f t="shared" si="2"/>
        <v>1</v>
      </c>
    </row>
    <row r="30" spans="1:12" x14ac:dyDescent="0.25">
      <c r="A30" s="3" t="s">
        <v>26</v>
      </c>
      <c r="B30" s="17"/>
      <c r="C30" s="21">
        <v>754.5</v>
      </c>
      <c r="D30" s="46">
        <v>861.2</v>
      </c>
      <c r="E30" s="46">
        <f>861.2</f>
        <v>861.2</v>
      </c>
      <c r="F30" s="47">
        <f t="shared" si="0"/>
        <v>1</v>
      </c>
      <c r="G30" s="28">
        <v>1011.9</v>
      </c>
      <c r="H30" s="13">
        <v>1011.9</v>
      </c>
      <c r="I30" s="14">
        <f t="shared" si="1"/>
        <v>1</v>
      </c>
      <c r="J30" s="5">
        <f>941.6</f>
        <v>941.6</v>
      </c>
      <c r="K30" s="5">
        <f>941.6</f>
        <v>941.6</v>
      </c>
      <c r="L30" s="6">
        <f t="shared" si="2"/>
        <v>1</v>
      </c>
    </row>
    <row r="31" spans="1:12" x14ac:dyDescent="0.25">
      <c r="A31" s="3" t="s">
        <v>27</v>
      </c>
      <c r="B31" s="17"/>
      <c r="C31" s="21">
        <v>1322</v>
      </c>
      <c r="D31" s="46">
        <v>1489</v>
      </c>
      <c r="E31" s="46">
        <f>1489</f>
        <v>1489</v>
      </c>
      <c r="F31" s="47">
        <f t="shared" si="0"/>
        <v>1</v>
      </c>
      <c r="G31" s="28">
        <v>1777.8</v>
      </c>
      <c r="H31" s="13">
        <v>1777.8</v>
      </c>
      <c r="I31" s="14">
        <f t="shared" si="1"/>
        <v>1</v>
      </c>
      <c r="J31" s="5">
        <f>1924.7</f>
        <v>1924.7</v>
      </c>
      <c r="K31" s="5">
        <f>1924.7</f>
        <v>1924.7</v>
      </c>
      <c r="L31" s="6">
        <f t="shared" si="2"/>
        <v>1</v>
      </c>
    </row>
    <row r="32" spans="1:12" x14ac:dyDescent="0.25">
      <c r="A32" s="3" t="s">
        <v>28</v>
      </c>
      <c r="B32" s="17" t="s">
        <v>131</v>
      </c>
      <c r="C32" s="21">
        <v>40.1</v>
      </c>
      <c r="D32" s="48"/>
      <c r="E32" s="46">
        <f>42.6</f>
        <v>42.6</v>
      </c>
      <c r="F32" s="47">
        <f t="shared" si="0"/>
        <v>0</v>
      </c>
      <c r="G32" s="27"/>
      <c r="H32" s="13">
        <v>700.6</v>
      </c>
      <c r="I32" s="14">
        <f t="shared" si="1"/>
        <v>0</v>
      </c>
      <c r="J32" s="4"/>
      <c r="K32" s="5">
        <f>700.6</f>
        <v>700.6</v>
      </c>
      <c r="L32" s="6">
        <f t="shared" si="2"/>
        <v>0</v>
      </c>
    </row>
    <row r="33" spans="1:16" x14ac:dyDescent="0.25">
      <c r="A33" s="3" t="s">
        <v>29</v>
      </c>
      <c r="B33" s="17"/>
      <c r="C33" s="12">
        <v>2464.4</v>
      </c>
      <c r="D33" s="46">
        <v>2595</v>
      </c>
      <c r="E33" s="46">
        <f>2595</f>
        <v>2595</v>
      </c>
      <c r="F33" s="47">
        <f t="shared" si="0"/>
        <v>1</v>
      </c>
      <c r="G33" s="28">
        <v>2736.9</v>
      </c>
      <c r="H33" s="13">
        <v>2736.9</v>
      </c>
      <c r="I33" s="14">
        <f t="shared" si="1"/>
        <v>1</v>
      </c>
      <c r="J33" s="5">
        <f>3000.6</f>
        <v>3000.6</v>
      </c>
      <c r="K33" s="5">
        <f>3000.6</f>
        <v>3000.6</v>
      </c>
      <c r="L33" s="6">
        <f t="shared" si="2"/>
        <v>1</v>
      </c>
    </row>
    <row r="34" spans="1:16" x14ac:dyDescent="0.25">
      <c r="A34" s="3" t="s">
        <v>30</v>
      </c>
      <c r="B34" s="17"/>
      <c r="C34" s="21">
        <v>440.7</v>
      </c>
      <c r="D34" s="46">
        <v>440.7</v>
      </c>
      <c r="E34" s="46">
        <f>440.7</f>
        <v>440.7</v>
      </c>
      <c r="F34" s="47">
        <f t="shared" si="0"/>
        <v>1</v>
      </c>
      <c r="G34" s="28">
        <v>406.8</v>
      </c>
      <c r="H34" s="13">
        <v>406.8</v>
      </c>
      <c r="I34" s="14">
        <f t="shared" si="1"/>
        <v>1</v>
      </c>
      <c r="J34" s="5">
        <f>406.8</f>
        <v>406.8</v>
      </c>
      <c r="K34" s="5">
        <f>406.8</f>
        <v>406.8</v>
      </c>
      <c r="L34" s="6">
        <f t="shared" si="2"/>
        <v>1</v>
      </c>
    </row>
    <row r="35" spans="1:16" x14ac:dyDescent="0.25">
      <c r="A35" s="3" t="s">
        <v>31</v>
      </c>
      <c r="B35" s="17"/>
      <c r="C35" s="21">
        <v>716.9</v>
      </c>
      <c r="D35" s="46">
        <v>705.6</v>
      </c>
      <c r="E35" s="46">
        <f>705.6</f>
        <v>705.6</v>
      </c>
      <c r="F35" s="47">
        <f t="shared" si="0"/>
        <v>1</v>
      </c>
      <c r="G35" s="28">
        <v>671.7</v>
      </c>
      <c r="H35" s="13">
        <v>671.7</v>
      </c>
      <c r="I35" s="14">
        <f t="shared" si="1"/>
        <v>1</v>
      </c>
      <c r="J35" s="5">
        <f>782.2</f>
        <v>782.2</v>
      </c>
      <c r="K35" s="5">
        <f>782.2</f>
        <v>782.2</v>
      </c>
      <c r="L35" s="6">
        <f t="shared" si="2"/>
        <v>1</v>
      </c>
    </row>
    <row r="36" spans="1:16" x14ac:dyDescent="0.25">
      <c r="A36" s="3" t="s">
        <v>32</v>
      </c>
      <c r="B36" s="17"/>
      <c r="C36" s="21">
        <v>635.29999999999995</v>
      </c>
      <c r="D36" s="46">
        <v>667.9</v>
      </c>
      <c r="E36" s="46">
        <f>667.9</f>
        <v>667.9</v>
      </c>
      <c r="F36" s="47">
        <f t="shared" si="0"/>
        <v>1</v>
      </c>
      <c r="G36" s="28">
        <v>1073.5</v>
      </c>
      <c r="H36" s="13">
        <v>1073.5</v>
      </c>
      <c r="I36" s="14">
        <f t="shared" si="1"/>
        <v>1</v>
      </c>
      <c r="J36" s="5">
        <f>1084.8</f>
        <v>1084.8</v>
      </c>
      <c r="K36" s="5">
        <f>1084.8</f>
        <v>1084.8</v>
      </c>
      <c r="L36" s="6">
        <f t="shared" si="2"/>
        <v>1</v>
      </c>
    </row>
    <row r="37" spans="1:16" x14ac:dyDescent="0.25">
      <c r="A37" s="3" t="s">
        <v>33</v>
      </c>
      <c r="B37" s="17"/>
      <c r="C37" s="21">
        <v>374.1</v>
      </c>
      <c r="D37" s="48">
        <v>385.4</v>
      </c>
      <c r="E37" s="46">
        <f>385.4</f>
        <v>385.4</v>
      </c>
      <c r="F37" s="47">
        <f t="shared" si="0"/>
        <v>1</v>
      </c>
      <c r="G37" s="28">
        <v>711.9</v>
      </c>
      <c r="H37" s="13">
        <v>711.9</v>
      </c>
      <c r="I37" s="14">
        <f t="shared" si="1"/>
        <v>1</v>
      </c>
      <c r="J37" s="5">
        <f>678</f>
        <v>678</v>
      </c>
      <c r="K37" s="5">
        <f>678</f>
        <v>678</v>
      </c>
      <c r="L37" s="6">
        <f t="shared" si="2"/>
        <v>1</v>
      </c>
    </row>
    <row r="38" spans="1:16" x14ac:dyDescent="0.25">
      <c r="A38" s="3" t="s">
        <v>34</v>
      </c>
      <c r="B38" s="17"/>
      <c r="C38" s="21">
        <v>312.60000000000002</v>
      </c>
      <c r="D38" s="62">
        <v>301.3</v>
      </c>
      <c r="E38" s="46">
        <f>301.3</f>
        <v>301.3</v>
      </c>
      <c r="F38" s="47">
        <f t="shared" si="0"/>
        <v>1</v>
      </c>
      <c r="G38" s="28">
        <v>533.6</v>
      </c>
      <c r="H38" s="13">
        <v>533.6</v>
      </c>
      <c r="I38" s="14">
        <f t="shared" si="1"/>
        <v>1</v>
      </c>
      <c r="J38" s="5">
        <f>522.3</f>
        <v>522.29999999999995</v>
      </c>
      <c r="K38" s="5">
        <f>522.3</f>
        <v>522.29999999999995</v>
      </c>
      <c r="L38" s="6">
        <f t="shared" si="2"/>
        <v>1</v>
      </c>
    </row>
    <row r="39" spans="1:16" x14ac:dyDescent="0.25">
      <c r="A39" s="3" t="s">
        <v>35</v>
      </c>
      <c r="B39" s="17"/>
      <c r="C39" s="21">
        <v>862.5</v>
      </c>
      <c r="D39" s="46">
        <v>984.3</v>
      </c>
      <c r="E39" s="46">
        <f>984.3</f>
        <v>984.3</v>
      </c>
      <c r="F39" s="47">
        <f t="shared" si="0"/>
        <v>1</v>
      </c>
      <c r="G39" s="28">
        <v>1067.2</v>
      </c>
      <c r="H39" s="13">
        <v>1067.2</v>
      </c>
      <c r="I39" s="14">
        <f t="shared" si="1"/>
        <v>1</v>
      </c>
      <c r="J39" s="5">
        <f>983.1</f>
        <v>983.1</v>
      </c>
      <c r="K39" s="5">
        <f>983.1</f>
        <v>983.1</v>
      </c>
      <c r="L39" s="6">
        <f t="shared" si="2"/>
        <v>1</v>
      </c>
    </row>
    <row r="40" spans="1:16" x14ac:dyDescent="0.25">
      <c r="A40" s="3" t="s">
        <v>36</v>
      </c>
      <c r="B40" s="17"/>
      <c r="C40" s="21">
        <v>450.7</v>
      </c>
      <c r="D40" s="46">
        <v>513.5</v>
      </c>
      <c r="E40" s="46">
        <f>513.5</f>
        <v>513.5</v>
      </c>
      <c r="F40" s="47">
        <f t="shared" si="0"/>
        <v>1</v>
      </c>
      <c r="G40" s="28">
        <v>502.2</v>
      </c>
      <c r="H40" s="13">
        <v>502.2</v>
      </c>
      <c r="I40" s="14">
        <f t="shared" si="1"/>
        <v>1</v>
      </c>
      <c r="J40" s="5">
        <f>536.1</f>
        <v>536.1</v>
      </c>
      <c r="K40" s="5">
        <f>536.1</f>
        <v>536.1</v>
      </c>
      <c r="L40" s="6">
        <f t="shared" si="2"/>
        <v>1</v>
      </c>
    </row>
    <row r="41" spans="1:16" x14ac:dyDescent="0.25">
      <c r="A41" s="3" t="s">
        <v>37</v>
      </c>
      <c r="B41" s="17"/>
      <c r="C41" s="21">
        <v>974.3</v>
      </c>
      <c r="D41" s="46">
        <v>963</v>
      </c>
      <c r="E41" s="46">
        <f>963</f>
        <v>963</v>
      </c>
      <c r="F41" s="47">
        <f t="shared" si="0"/>
        <v>1</v>
      </c>
      <c r="G41" s="28">
        <v>960.5</v>
      </c>
      <c r="H41" s="13">
        <v>960.5</v>
      </c>
      <c r="I41" s="14">
        <f t="shared" si="1"/>
        <v>1</v>
      </c>
      <c r="J41" s="5">
        <f>915.3</f>
        <v>915.3</v>
      </c>
      <c r="K41" s="5">
        <f>915.3</f>
        <v>915.3</v>
      </c>
      <c r="L41" s="6">
        <f t="shared" si="2"/>
        <v>1</v>
      </c>
    </row>
    <row r="42" spans="1:16" x14ac:dyDescent="0.25">
      <c r="A42" s="3" t="s">
        <v>38</v>
      </c>
      <c r="B42" s="17" t="s">
        <v>131</v>
      </c>
      <c r="C42" s="21">
        <v>242.3</v>
      </c>
      <c r="D42" s="48"/>
      <c r="E42" s="46">
        <f>242.3</f>
        <v>242.3</v>
      </c>
      <c r="F42" s="47">
        <f t="shared" si="0"/>
        <v>0</v>
      </c>
      <c r="G42" s="27"/>
      <c r="H42" s="13">
        <v>418.1</v>
      </c>
      <c r="I42" s="14">
        <f t="shared" si="1"/>
        <v>0</v>
      </c>
      <c r="J42" s="4"/>
      <c r="K42" s="5">
        <f>372.9</f>
        <v>372.9</v>
      </c>
      <c r="L42" s="6">
        <f t="shared" si="2"/>
        <v>0</v>
      </c>
    </row>
    <row r="43" spans="1:16" x14ac:dyDescent="0.25">
      <c r="A43" s="3" t="s">
        <v>39</v>
      </c>
      <c r="B43" s="17" t="s">
        <v>131</v>
      </c>
      <c r="C43" s="12">
        <v>332.7</v>
      </c>
      <c r="D43" s="48"/>
      <c r="E43" s="46">
        <f>332.7</f>
        <v>332.7</v>
      </c>
      <c r="F43" s="47">
        <f t="shared" si="0"/>
        <v>0</v>
      </c>
      <c r="G43" s="27"/>
      <c r="H43" s="13">
        <v>463.3</v>
      </c>
      <c r="I43" s="14">
        <f t="shared" si="1"/>
        <v>0</v>
      </c>
      <c r="J43" s="4"/>
      <c r="K43" s="5">
        <f>485.9</f>
        <v>485.9</v>
      </c>
      <c r="L43" s="6">
        <f t="shared" si="2"/>
        <v>0</v>
      </c>
    </row>
    <row r="44" spans="1:16" x14ac:dyDescent="0.25">
      <c r="A44" s="3" t="s">
        <v>40</v>
      </c>
      <c r="B44" s="17"/>
      <c r="C44" s="12">
        <v>620.20000000000005</v>
      </c>
      <c r="D44" s="62">
        <v>620.20000000000005</v>
      </c>
      <c r="E44" s="46">
        <f>620.2</f>
        <v>620.20000000000005</v>
      </c>
      <c r="F44" s="47">
        <f t="shared" si="0"/>
        <v>1</v>
      </c>
      <c r="G44" s="28">
        <v>940.4</v>
      </c>
      <c r="H44" s="13">
        <v>940.4</v>
      </c>
      <c r="I44" s="14">
        <f t="shared" si="1"/>
        <v>1</v>
      </c>
      <c r="J44" s="5">
        <f>861.3</f>
        <v>861.3</v>
      </c>
      <c r="K44" s="5">
        <f>861.3</f>
        <v>861.3</v>
      </c>
      <c r="L44" s="6">
        <f t="shared" si="2"/>
        <v>1</v>
      </c>
    </row>
    <row r="45" spans="1:16" x14ac:dyDescent="0.25">
      <c r="A45" s="3" t="s">
        <v>41</v>
      </c>
      <c r="B45" s="17"/>
      <c r="C45" s="21">
        <v>271.2</v>
      </c>
      <c r="D45" s="55">
        <v>259.89999999999998</v>
      </c>
      <c r="E45" s="46">
        <f>259.9</f>
        <v>259.89999999999998</v>
      </c>
      <c r="F45" s="47">
        <f t="shared" si="0"/>
        <v>1</v>
      </c>
      <c r="G45" s="28">
        <v>226</v>
      </c>
      <c r="H45" s="13">
        <v>226</v>
      </c>
      <c r="I45" s="14">
        <f t="shared" si="1"/>
        <v>1</v>
      </c>
      <c r="J45" s="4"/>
      <c r="K45" s="4"/>
      <c r="L45" s="6" t="str">
        <f t="shared" si="2"/>
        <v/>
      </c>
    </row>
    <row r="46" spans="1:16" x14ac:dyDescent="0.25">
      <c r="A46" s="3" t="s">
        <v>42</v>
      </c>
      <c r="B46" s="17"/>
      <c r="C46" s="22">
        <f>SUM(C8:C45)</f>
        <v>26733.199999999997</v>
      </c>
      <c r="D46" s="49">
        <f>(((((((((((((((((((((((((((((((((((((D8)+(D9))+(D10))+(D11))+(D12))+(D13))+(D14))+(D15))+(D16))+(D17))+(D18))+(D19))+(D20))+(D21))+(D22))+(D23))+(D24))+(D25))+(D26))+(D27))+(D28))+(D29))+(D30))+(D31))+(D32))+(D33))+(D34))+(D35))+(D36))+(D37))+(D38))+(D39))+(D40))+(D41))+(D42))+(D43))+(D44))+(D45)</f>
        <v>25493.000000000004</v>
      </c>
      <c r="E46" s="49">
        <f>(((((((((((((((((((((((((((((((((((((E8)+(E9))+(E10))+(E11))+(E12))+(E13))+(E14))+(E15))+(E16))+(E17))+(E18))+(E19))+(E20))+(E21))+(E22))+(E23))+(E24))+(E25))+(E26))+(E27))+(E28))+(E29))+(E30))+(E31))+(E32))+(E33))+(E34))+(E35))+(E36))+(E37))+(E38))+(E39))+(E40))+(E41))+(E42))+(E43))+(E44))+(E45)</f>
        <v>27717.4</v>
      </c>
      <c r="F46" s="50">
        <f t="shared" si="0"/>
        <v>0.91974716243226284</v>
      </c>
      <c r="G46" s="29">
        <f>(((((((((((((((((((((((((((((((((((((G8)+(G9))+(G10))+(G11))+(G12))+(G13))+(G14))+(G15))+(G16))+(G17))+(G18))+(G19))+(G20))+(G21))+(G22))+(G23))+(G24))+(G25))+(G26))+(G27))+(G28))+(G29))+(G30))+(G31))+(G32))+(G33))+(G34))+(G35))+(G36))+(G37))+(G38))+(G39))+(G40))+(G41))+(G42))+(G43))+(G44))+(G45)</f>
        <v>31825.200000000008</v>
      </c>
      <c r="H46" s="7">
        <f>(((((((((((((((((((((((((((((((((((((H8)+(H9))+(H10))+(H11))+(H12))+(H13))+(H14))+(H15))+(H16))+(H17))+(H18))+(H19))+(H20))+(H21))+(H22))+(H23))+(H24))+(H25))+(H26))+(H27))+(H28))+(H29))+(H30))+(H31))+(H32))+(H33))+(H34))+(H35))+(H36))+(H37))+(H38))+(H39))+(H40))+(H41))+(H42))+(H43))+(H44))+(H45)</f>
        <v>33407.200000000004</v>
      </c>
      <c r="I46" s="15">
        <f t="shared" si="1"/>
        <v>0.95264493881558476</v>
      </c>
      <c r="J46" s="7">
        <f>(((((((((((((((((((((((((((((((((((((J8)+(J9))+(J10))+(J11))+(J12))+(J13))+(J14))+(J15))+(J16))+(J17))+(J18))+(J19))+(J20))+(J21))+(J22))+(J23))+(J24))+(J25))+(J26))+(J27))+(J28))+(J29))+(J30))+(J31))+(J32))+(J33))+(J34))+(J35))+(J36))+(J37))+(J38))+(J39))+(J40))+(J41))+(J42))+(J43))+(J44))+(J45)</f>
        <v>31947.099999999995</v>
      </c>
      <c r="K46" s="7">
        <f>(((((((((((((((((((((((((((((((((((((K8)+(K9))+(K10))+(K11))+(K12))+(K13))+(K14))+(K15))+(K16))+(K17))+(K18))+(K19))+(K20))+(K21))+(K22))+(K23))+(K24))+(K25))+(K26))+(K27))+(K28))+(K29))+(K30))+(K31))+(K32))+(K33))+(K34))+(K35))+(K36))+(K37))+(K38))+(K39))+(K40))+(K41))+(K42))+(K43))+(K44))+(K45)</f>
        <v>33504</v>
      </c>
      <c r="L46" s="8">
        <f t="shared" si="2"/>
        <v>0.95353092168099318</v>
      </c>
      <c r="P46" s="24"/>
    </row>
    <row r="47" spans="1:16" x14ac:dyDescent="0.25">
      <c r="A47" s="3"/>
      <c r="B47" s="17"/>
      <c r="C47" s="12"/>
      <c r="D47" s="11"/>
      <c r="E47" s="11"/>
      <c r="F47" s="40"/>
      <c r="G47" s="27"/>
      <c r="H47" s="11"/>
      <c r="I47" s="14" t="str">
        <f t="shared" si="1"/>
        <v/>
      </c>
      <c r="J47" s="4"/>
      <c r="K47" s="4"/>
      <c r="L47" s="6" t="str">
        <f t="shared" si="2"/>
        <v/>
      </c>
      <c r="N47" s="23"/>
    </row>
    <row r="48" spans="1:16" x14ac:dyDescent="0.25">
      <c r="A48" s="16" t="s">
        <v>117</v>
      </c>
      <c r="B48" s="17" t="s">
        <v>132</v>
      </c>
      <c r="C48" s="12">
        <v>-1176.3</v>
      </c>
      <c r="D48" s="11"/>
      <c r="E48" s="11">
        <v>-617.6</v>
      </c>
      <c r="F48" s="14"/>
      <c r="G48" s="27"/>
      <c r="H48" s="11">
        <v>-1582</v>
      </c>
      <c r="I48" s="14">
        <f t="shared" si="1"/>
        <v>0</v>
      </c>
      <c r="J48" s="4"/>
      <c r="K48" s="4"/>
      <c r="L48" s="6" t="str">
        <f t="shared" si="2"/>
        <v/>
      </c>
    </row>
    <row r="49" spans="1:14" ht="23.25" x14ac:dyDescent="0.25">
      <c r="A49" s="3" t="s">
        <v>43</v>
      </c>
      <c r="B49" s="33" t="s">
        <v>133</v>
      </c>
      <c r="C49" s="7">
        <f>((((C46)+(C47))+(C48)))</f>
        <v>25556.899999999998</v>
      </c>
      <c r="D49" s="29">
        <f>((((D46)+(D47))+(D48)))</f>
        <v>25493.000000000004</v>
      </c>
      <c r="E49" s="7">
        <f>((((E46)+(E47))+(E48)))</f>
        <v>27099.800000000003</v>
      </c>
      <c r="F49" s="41">
        <f t="shared" ref="F49" si="3">IF(E49=0,"",(D49)/(E49))</f>
        <v>0.94070804950590048</v>
      </c>
      <c r="G49" s="29">
        <f>((((G46)+(G47))+(G48)))</f>
        <v>31825.200000000008</v>
      </c>
      <c r="H49" s="7">
        <f>((((H46)+(H47))+(H48)))</f>
        <v>31825.200000000004</v>
      </c>
      <c r="I49" s="15">
        <f t="shared" si="1"/>
        <v>1.0000000000000002</v>
      </c>
      <c r="J49" s="7">
        <f>((((J46)+(J47))+(J48)))</f>
        <v>31947.099999999995</v>
      </c>
      <c r="K49" s="7">
        <f>((((K46)+(K47))+(K48)))</f>
        <v>33504</v>
      </c>
      <c r="L49" s="8">
        <f t="shared" si="2"/>
        <v>0.95353092168099318</v>
      </c>
    </row>
    <row r="50" spans="1:14" x14ac:dyDescent="0.25">
      <c r="A50" s="3" t="s">
        <v>44</v>
      </c>
      <c r="B50" s="17"/>
      <c r="C50" s="12"/>
      <c r="D50" s="11"/>
      <c r="E50" s="11"/>
      <c r="F50" s="40"/>
      <c r="G50" s="27"/>
      <c r="H50" s="11"/>
      <c r="I50" s="14" t="str">
        <f t="shared" si="1"/>
        <v/>
      </c>
      <c r="J50" s="4"/>
      <c r="K50" s="4"/>
      <c r="L50" s="4"/>
    </row>
    <row r="51" spans="1:14" x14ac:dyDescent="0.25">
      <c r="A51" s="3" t="s">
        <v>45</v>
      </c>
      <c r="B51" s="17"/>
      <c r="C51" s="12"/>
      <c r="D51" s="48"/>
      <c r="E51" s="48"/>
      <c r="F51" s="47" t="str">
        <f t="shared" ref="F51:F99" si="4">IF(E51=0,"",(D51)/(E51))</f>
        <v/>
      </c>
      <c r="G51" s="27">
        <v>3528.49</v>
      </c>
      <c r="H51" s="11"/>
      <c r="I51" s="14" t="str">
        <f t="shared" si="1"/>
        <v/>
      </c>
      <c r="J51" s="4"/>
      <c r="K51" s="4"/>
      <c r="L51" s="6" t="str">
        <f t="shared" ref="L51:L102" si="5">IF(K51=0,"",(J51)/(K51))</f>
        <v/>
      </c>
    </row>
    <row r="52" spans="1:14" x14ac:dyDescent="0.25">
      <c r="A52" s="3" t="s">
        <v>46</v>
      </c>
      <c r="B52" s="17"/>
      <c r="C52" s="21">
        <v>1700</v>
      </c>
      <c r="D52" s="46">
        <v>1700</v>
      </c>
      <c r="E52" s="46">
        <f>1700</f>
        <v>1700</v>
      </c>
      <c r="F52" s="47">
        <f t="shared" si="4"/>
        <v>1</v>
      </c>
      <c r="G52" s="28">
        <v>1700</v>
      </c>
      <c r="H52" s="13">
        <v>1600</v>
      </c>
      <c r="I52" s="14">
        <f t="shared" si="1"/>
        <v>1.0625</v>
      </c>
      <c r="J52" s="5">
        <f>1600</f>
        <v>1600</v>
      </c>
      <c r="K52" s="5">
        <f>1500</f>
        <v>1500</v>
      </c>
      <c r="L52" s="6">
        <f t="shared" si="5"/>
        <v>1.0666666666666667</v>
      </c>
    </row>
    <row r="53" spans="1:14" x14ac:dyDescent="0.25">
      <c r="A53" s="3" t="s">
        <v>47</v>
      </c>
      <c r="B53" s="17"/>
      <c r="C53" s="12">
        <v>0</v>
      </c>
      <c r="D53" s="48"/>
      <c r="E53" s="48"/>
      <c r="F53" s="47" t="str">
        <f t="shared" si="4"/>
        <v/>
      </c>
      <c r="G53" s="27">
        <v>0</v>
      </c>
      <c r="H53" s="11">
        <v>0</v>
      </c>
      <c r="I53" s="14" t="str">
        <f t="shared" si="1"/>
        <v/>
      </c>
      <c r="J53" s="5">
        <f>31</f>
        <v>31</v>
      </c>
      <c r="K53" s="4"/>
      <c r="L53" s="6" t="str">
        <f t="shared" si="5"/>
        <v/>
      </c>
    </row>
    <row r="54" spans="1:14" x14ac:dyDescent="0.25">
      <c r="A54" s="3" t="s">
        <v>48</v>
      </c>
      <c r="B54" s="54" t="s">
        <v>137</v>
      </c>
      <c r="C54" s="52">
        <v>1600</v>
      </c>
      <c r="D54" s="46">
        <v>1558</v>
      </c>
      <c r="E54" s="46">
        <f>1500</f>
        <v>1500</v>
      </c>
      <c r="F54" s="47">
        <f t="shared" si="4"/>
        <v>1.0386666666666666</v>
      </c>
      <c r="G54" s="28">
        <v>1481</v>
      </c>
      <c r="H54" s="13">
        <v>1500</v>
      </c>
      <c r="I54" s="14">
        <f t="shared" si="1"/>
        <v>0.98733333333333329</v>
      </c>
      <c r="J54" s="5">
        <f>1700</f>
        <v>1700</v>
      </c>
      <c r="K54" s="5">
        <f>1700</f>
        <v>1700</v>
      </c>
      <c r="L54" s="6">
        <f t="shared" si="5"/>
        <v>1</v>
      </c>
    </row>
    <row r="55" spans="1:14" x14ac:dyDescent="0.25">
      <c r="A55" s="3" t="s">
        <v>49</v>
      </c>
      <c r="B55" s="54" t="s">
        <v>137</v>
      </c>
      <c r="C55" s="52">
        <v>1000</v>
      </c>
      <c r="D55" s="46">
        <v>166.8</v>
      </c>
      <c r="E55" s="46">
        <f>2500</f>
        <v>2500</v>
      </c>
      <c r="F55" s="47">
        <f t="shared" si="4"/>
        <v>6.6720000000000002E-2</v>
      </c>
      <c r="G55" s="28">
        <v>1985.4</v>
      </c>
      <c r="H55" s="13">
        <v>3200</v>
      </c>
      <c r="I55" s="14">
        <f t="shared" si="1"/>
        <v>0.62043749999999998</v>
      </c>
      <c r="J55" s="5">
        <f>1645.2</f>
        <v>1645.2</v>
      </c>
      <c r="K55" s="5">
        <f>2000</f>
        <v>2000</v>
      </c>
      <c r="L55" s="6">
        <f t="shared" si="5"/>
        <v>0.8226</v>
      </c>
    </row>
    <row r="56" spans="1:14" x14ac:dyDescent="0.25">
      <c r="A56" s="3" t="s">
        <v>50</v>
      </c>
      <c r="B56" s="64" t="s">
        <v>163</v>
      </c>
      <c r="C56" s="52">
        <v>2000</v>
      </c>
      <c r="D56" s="60">
        <v>1228.18</v>
      </c>
      <c r="E56" s="46">
        <f>2500</f>
        <v>2500</v>
      </c>
      <c r="F56" s="47">
        <f t="shared" si="4"/>
        <v>0.49127200000000004</v>
      </c>
      <c r="G56" s="28">
        <v>1165.57</v>
      </c>
      <c r="H56" s="13">
        <v>3130.9</v>
      </c>
      <c r="I56" s="14">
        <f t="shared" si="1"/>
        <v>0.37227953623558718</v>
      </c>
      <c r="J56" s="5">
        <f>2371.62</f>
        <v>2371.62</v>
      </c>
      <c r="K56" s="5">
        <f>5494</f>
        <v>5494</v>
      </c>
      <c r="L56" s="6">
        <f t="shared" si="5"/>
        <v>0.43167455405897343</v>
      </c>
      <c r="N56" s="34"/>
    </row>
    <row r="57" spans="1:14" ht="23.25" x14ac:dyDescent="0.25">
      <c r="A57" s="3" t="s">
        <v>51</v>
      </c>
      <c r="B57" s="17" t="s">
        <v>119</v>
      </c>
      <c r="C57" s="12">
        <v>700</v>
      </c>
      <c r="D57" s="55">
        <v>800</v>
      </c>
      <c r="E57" s="46">
        <f>800</f>
        <v>800</v>
      </c>
      <c r="F57" s="47">
        <f t="shared" si="4"/>
        <v>1</v>
      </c>
      <c r="G57" s="27">
        <v>464.56</v>
      </c>
      <c r="H57" s="13">
        <v>900</v>
      </c>
      <c r="I57" s="14">
        <f t="shared" si="1"/>
        <v>0.51617777777777774</v>
      </c>
      <c r="J57" s="5">
        <f>638.68</f>
        <v>638.67999999999995</v>
      </c>
      <c r="K57" s="5">
        <f>800</f>
        <v>800</v>
      </c>
      <c r="L57" s="6">
        <f t="shared" si="5"/>
        <v>0.79834999999999989</v>
      </c>
      <c r="N57" s="34"/>
    </row>
    <row r="58" spans="1:14" x14ac:dyDescent="0.25">
      <c r="A58" s="3" t="s">
        <v>52</v>
      </c>
      <c r="B58" s="17"/>
      <c r="C58" s="12">
        <v>100</v>
      </c>
      <c r="D58" s="46">
        <v>100</v>
      </c>
      <c r="E58" s="46">
        <f>100</f>
        <v>100</v>
      </c>
      <c r="F58" s="47">
        <f t="shared" si="4"/>
        <v>1</v>
      </c>
      <c r="G58" s="27">
        <v>100</v>
      </c>
      <c r="H58" s="13">
        <v>100</v>
      </c>
      <c r="I58" s="14">
        <f t="shared" si="1"/>
        <v>1</v>
      </c>
      <c r="J58" s="5">
        <f>100</f>
        <v>100</v>
      </c>
      <c r="K58" s="5">
        <f>100</f>
        <v>100</v>
      </c>
      <c r="L58" s="6">
        <f t="shared" si="5"/>
        <v>1</v>
      </c>
    </row>
    <row r="59" spans="1:14" x14ac:dyDescent="0.25">
      <c r="A59" s="3" t="s">
        <v>53</v>
      </c>
      <c r="B59" s="17"/>
      <c r="C59" s="21">
        <v>300</v>
      </c>
      <c r="D59" s="46">
        <v>300</v>
      </c>
      <c r="E59" s="46">
        <f>300</f>
        <v>300</v>
      </c>
      <c r="F59" s="47">
        <f t="shared" si="4"/>
        <v>1</v>
      </c>
      <c r="G59" s="28">
        <v>300</v>
      </c>
      <c r="H59" s="13">
        <v>300</v>
      </c>
      <c r="I59" s="14">
        <f t="shared" si="1"/>
        <v>1</v>
      </c>
      <c r="J59" s="5">
        <f>300</f>
        <v>300</v>
      </c>
      <c r="K59" s="5">
        <f>300</f>
        <v>300</v>
      </c>
      <c r="L59" s="6">
        <f t="shared" si="5"/>
        <v>1</v>
      </c>
    </row>
    <row r="60" spans="1:14" x14ac:dyDescent="0.25">
      <c r="A60" s="3" t="s">
        <v>54</v>
      </c>
      <c r="B60" s="17"/>
      <c r="C60" s="21">
        <v>150</v>
      </c>
      <c r="D60" s="46">
        <v>150</v>
      </c>
      <c r="E60" s="46">
        <f>150</f>
        <v>150</v>
      </c>
      <c r="F60" s="47">
        <f t="shared" si="4"/>
        <v>1</v>
      </c>
      <c r="G60" s="28">
        <v>150</v>
      </c>
      <c r="H60" s="13">
        <v>150</v>
      </c>
      <c r="I60" s="14">
        <f t="shared" si="1"/>
        <v>1</v>
      </c>
      <c r="J60" s="5">
        <f>150</f>
        <v>150</v>
      </c>
      <c r="K60" s="5">
        <f>150</f>
        <v>150</v>
      </c>
      <c r="L60" s="6">
        <f t="shared" si="5"/>
        <v>1</v>
      </c>
    </row>
    <row r="61" spans="1:14" x14ac:dyDescent="0.25">
      <c r="A61" s="3" t="s">
        <v>55</v>
      </c>
      <c r="B61" s="17" t="s">
        <v>120</v>
      </c>
      <c r="C61" s="21">
        <v>500</v>
      </c>
      <c r="D61" s="46">
        <v>500</v>
      </c>
      <c r="E61" s="46">
        <f>500</f>
        <v>500</v>
      </c>
      <c r="F61" s="47">
        <f t="shared" si="4"/>
        <v>1</v>
      </c>
      <c r="G61" s="28">
        <v>500</v>
      </c>
      <c r="H61" s="13">
        <v>500</v>
      </c>
      <c r="I61" s="14">
        <f t="shared" si="1"/>
        <v>1</v>
      </c>
      <c r="J61" s="5">
        <f>300</f>
        <v>300</v>
      </c>
      <c r="K61" s="5">
        <f>300</f>
        <v>300</v>
      </c>
      <c r="L61" s="6">
        <f t="shared" si="5"/>
        <v>1</v>
      </c>
    </row>
    <row r="62" spans="1:14" x14ac:dyDescent="0.25">
      <c r="A62" s="3" t="s">
        <v>56</v>
      </c>
      <c r="B62" s="17"/>
      <c r="C62" s="21">
        <v>10</v>
      </c>
      <c r="D62" s="46">
        <v>10</v>
      </c>
      <c r="E62" s="46">
        <f>10</f>
        <v>10</v>
      </c>
      <c r="F62" s="47">
        <f t="shared" si="4"/>
        <v>1</v>
      </c>
      <c r="G62" s="28">
        <v>10</v>
      </c>
      <c r="H62" s="13">
        <v>10</v>
      </c>
      <c r="I62" s="14">
        <f t="shared" si="1"/>
        <v>1</v>
      </c>
      <c r="J62" s="5">
        <f>10</f>
        <v>10</v>
      </c>
      <c r="K62" s="4"/>
      <c r="L62" s="6" t="str">
        <f t="shared" si="5"/>
        <v/>
      </c>
    </row>
    <row r="63" spans="1:14" x14ac:dyDescent="0.25">
      <c r="A63" s="3" t="s">
        <v>57</v>
      </c>
      <c r="B63" s="17"/>
      <c r="C63" s="12"/>
      <c r="D63" s="48"/>
      <c r="E63" s="48"/>
      <c r="F63" s="47" t="str">
        <f t="shared" si="4"/>
        <v/>
      </c>
      <c r="G63" s="27"/>
      <c r="H63" s="11">
        <v>0</v>
      </c>
      <c r="I63" s="14" t="str">
        <f t="shared" si="1"/>
        <v/>
      </c>
      <c r="J63" s="4"/>
      <c r="K63" s="4"/>
      <c r="L63" s="6" t="str">
        <f t="shared" si="5"/>
        <v/>
      </c>
    </row>
    <row r="64" spans="1:14" x14ac:dyDescent="0.25">
      <c r="A64" s="3" t="s">
        <v>58</v>
      </c>
      <c r="B64" s="17"/>
      <c r="C64" s="12">
        <v>250</v>
      </c>
      <c r="D64" s="48"/>
      <c r="E64" s="46">
        <f>250</f>
        <v>250</v>
      </c>
      <c r="F64" s="47">
        <f t="shared" si="4"/>
        <v>0</v>
      </c>
      <c r="G64" s="27">
        <v>255.88</v>
      </c>
      <c r="H64" s="13">
        <v>250</v>
      </c>
      <c r="I64" s="14">
        <f t="shared" si="1"/>
        <v>1.02352</v>
      </c>
      <c r="J64" s="5">
        <f>309.69</f>
        <v>309.69</v>
      </c>
      <c r="K64" s="5">
        <f>250</f>
        <v>250</v>
      </c>
      <c r="L64" s="6">
        <f t="shared" si="5"/>
        <v>1.2387600000000001</v>
      </c>
    </row>
    <row r="65" spans="1:14" x14ac:dyDescent="0.25">
      <c r="A65" s="3" t="s">
        <v>59</v>
      </c>
      <c r="B65" s="17"/>
      <c r="C65" s="22">
        <f>SUM(C51:C64)</f>
        <v>8310</v>
      </c>
      <c r="D65" s="49">
        <f>(((((((((((((D51)+(D52))+(D53))+(D54))+(D55))+(D56))+(D57))+(D58))+(D59))+(D60))+(D61))+(D62))+(D63))+(D64)</f>
        <v>6512.9800000000005</v>
      </c>
      <c r="E65" s="49">
        <f>(((((((((((((E51)+(E52))+(E53))+(E54))+(E55))+(E56))+(E57))+(E58))+(E59))+(E60))+(E61))+(E62))+(E63))+(E64)</f>
        <v>10310</v>
      </c>
      <c r="F65" s="50">
        <f t="shared" si="4"/>
        <v>0.63171483996120281</v>
      </c>
      <c r="G65" s="29">
        <f>(((((((((((((G51)+(G52))+(G53))+(G54))+(G55))+(G56))+(G57))+(G58))+(G59))+(G60))+(G61))+(G62))+(G63))+(G64)</f>
        <v>11640.899999999998</v>
      </c>
      <c r="H65" s="7">
        <f>(((((((((((((H51)+(H52))+(H53))+(H54))+(H55))+(H56))+(H57))+(H58))+(H59))+(H60))+(H61))+(H62))+(H63))+(H64)</f>
        <v>11640.9</v>
      </c>
      <c r="I65" s="15">
        <f t="shared" si="1"/>
        <v>0.99999999999999989</v>
      </c>
      <c r="J65" s="7">
        <f>(((((((((((((J51)+(J52))+(J53))+(J54))+(J55))+(J56))+(J57))+(J58))+(J59))+(J60))+(J61))+(J62))+(J63))+(J64)</f>
        <v>9156.19</v>
      </c>
      <c r="K65" s="7">
        <f>(((((((((((((K51)+(K52))+(K53))+(K54))+(K55))+(K56))+(K57))+(K58))+(K59))+(K60))+(K61))+(K62))+(K63))+(K64)</f>
        <v>12594</v>
      </c>
      <c r="L65" s="8">
        <f t="shared" si="5"/>
        <v>0.7270279498173734</v>
      </c>
    </row>
    <row r="66" spans="1:14" x14ac:dyDescent="0.25">
      <c r="A66" s="3" t="s">
        <v>60</v>
      </c>
      <c r="B66" s="17"/>
      <c r="C66" s="12"/>
      <c r="D66" s="48"/>
      <c r="E66" s="48"/>
      <c r="F66" s="47" t="str">
        <f t="shared" si="4"/>
        <v/>
      </c>
      <c r="G66" s="27">
        <v>4155.8</v>
      </c>
      <c r="H66" s="11"/>
      <c r="I66" s="14" t="str">
        <f t="shared" si="1"/>
        <v/>
      </c>
      <c r="J66" s="4"/>
      <c r="K66" s="4"/>
      <c r="L66" s="6" t="str">
        <f t="shared" si="5"/>
        <v/>
      </c>
    </row>
    <row r="67" spans="1:14" x14ac:dyDescent="0.25">
      <c r="A67" s="3" t="s">
        <v>61</v>
      </c>
      <c r="B67" s="33" t="s">
        <v>112</v>
      </c>
      <c r="C67" s="12">
        <v>3000</v>
      </c>
      <c r="D67" s="55">
        <v>200</v>
      </c>
      <c r="E67" s="46">
        <f>2800</f>
        <v>2800</v>
      </c>
      <c r="F67" s="47">
        <f t="shared" si="4"/>
        <v>7.1428571428571425E-2</v>
      </c>
      <c r="G67" s="27">
        <v>894.2</v>
      </c>
      <c r="H67" s="13">
        <v>2800</v>
      </c>
      <c r="I67" s="14">
        <f t="shared" si="1"/>
        <v>0.31935714285714289</v>
      </c>
      <c r="J67" s="5">
        <f>3500</f>
        <v>3500</v>
      </c>
      <c r="K67" s="5">
        <f>3500</f>
        <v>3500</v>
      </c>
      <c r="L67" s="6">
        <f t="shared" si="5"/>
        <v>1</v>
      </c>
    </row>
    <row r="68" spans="1:14" ht="23.25" x14ac:dyDescent="0.25">
      <c r="A68" s="3" t="s">
        <v>62</v>
      </c>
      <c r="B68" s="17" t="s">
        <v>122</v>
      </c>
      <c r="C68" s="12">
        <v>500</v>
      </c>
      <c r="D68" s="48"/>
      <c r="E68" s="46">
        <f>500</f>
        <v>500</v>
      </c>
      <c r="F68" s="47">
        <f t="shared" si="4"/>
        <v>0</v>
      </c>
      <c r="G68" s="27"/>
      <c r="H68" s="11">
        <v>0</v>
      </c>
      <c r="I68" s="14" t="str">
        <f t="shared" si="1"/>
        <v/>
      </c>
      <c r="J68" s="5">
        <f>500</f>
        <v>500</v>
      </c>
      <c r="K68" s="5">
        <f>500</f>
        <v>500</v>
      </c>
      <c r="L68" s="6">
        <f t="shared" si="5"/>
        <v>1</v>
      </c>
    </row>
    <row r="69" spans="1:14" x14ac:dyDescent="0.25">
      <c r="A69" s="3" t="s">
        <v>63</v>
      </c>
      <c r="B69" s="17"/>
      <c r="C69" s="12">
        <v>250</v>
      </c>
      <c r="D69" s="48"/>
      <c r="E69" s="46">
        <f>200</f>
        <v>200</v>
      </c>
      <c r="F69" s="47">
        <f t="shared" si="4"/>
        <v>0</v>
      </c>
      <c r="G69" s="27"/>
      <c r="H69" s="11">
        <v>250</v>
      </c>
      <c r="I69" s="14">
        <f t="shared" si="1"/>
        <v>0</v>
      </c>
      <c r="J69" s="5">
        <f>300</f>
        <v>300</v>
      </c>
      <c r="K69" s="5">
        <f>300</f>
        <v>300</v>
      </c>
      <c r="L69" s="6">
        <f t="shared" si="5"/>
        <v>1</v>
      </c>
    </row>
    <row r="70" spans="1:14" x14ac:dyDescent="0.25">
      <c r="A70" s="3" t="s">
        <v>64</v>
      </c>
      <c r="B70" s="17" t="s">
        <v>141</v>
      </c>
      <c r="C70" s="12"/>
      <c r="D70" s="48"/>
      <c r="E70" s="48"/>
      <c r="F70" s="47" t="str">
        <f t="shared" si="4"/>
        <v/>
      </c>
      <c r="G70" s="27"/>
      <c r="H70" s="13">
        <v>0</v>
      </c>
      <c r="I70" s="14" t="str">
        <f t="shared" si="1"/>
        <v/>
      </c>
      <c r="J70" s="4"/>
      <c r="K70" s="4"/>
      <c r="L70" s="6" t="str">
        <f t="shared" si="5"/>
        <v/>
      </c>
    </row>
    <row r="71" spans="1:14" ht="23.25" x14ac:dyDescent="0.25">
      <c r="A71" s="3" t="s">
        <v>65</v>
      </c>
      <c r="B71" s="17" t="s">
        <v>142</v>
      </c>
      <c r="C71" s="12">
        <v>2000</v>
      </c>
      <c r="D71" s="48"/>
      <c r="E71" s="46">
        <f>2000</f>
        <v>2000</v>
      </c>
      <c r="F71" s="47">
        <f t="shared" si="4"/>
        <v>0</v>
      </c>
      <c r="G71" s="27"/>
      <c r="H71" s="13">
        <f>2000</f>
        <v>2000</v>
      </c>
      <c r="I71" s="14">
        <f t="shared" si="1"/>
        <v>0</v>
      </c>
      <c r="J71" s="5">
        <f>1500</f>
        <v>1500</v>
      </c>
      <c r="K71" s="5">
        <f>1500</f>
        <v>1500</v>
      </c>
      <c r="L71" s="6">
        <f t="shared" si="5"/>
        <v>1</v>
      </c>
    </row>
    <row r="72" spans="1:14" x14ac:dyDescent="0.25">
      <c r="A72" s="3" t="s">
        <v>66</v>
      </c>
      <c r="B72" s="17"/>
      <c r="C72" s="22">
        <f>SUM(C66:C71)</f>
        <v>5750</v>
      </c>
      <c r="D72" s="49">
        <f>(((((D66)+(D67))+(D68))+(D69))+(D70))+(D71)</f>
        <v>200</v>
      </c>
      <c r="E72" s="49">
        <f>(((((E66)+(E67))+(E68))+(E69))+(E70))+(E71)</f>
        <v>5500</v>
      </c>
      <c r="F72" s="50">
        <f t="shared" si="4"/>
        <v>3.6363636363636362E-2</v>
      </c>
      <c r="G72" s="29">
        <f>(((((G66)+(G67))+(G68))+(G69))+(G70))+(G71)</f>
        <v>5050</v>
      </c>
      <c r="H72" s="7">
        <f>(((((H66)+(H67))+(H68))+(H69))+(H70))+(H71)</f>
        <v>5050</v>
      </c>
      <c r="I72" s="15">
        <f t="shared" ref="I72:I108" si="6">IF(H72=0,"",(G72)/(H72))</f>
        <v>1</v>
      </c>
      <c r="J72" s="7">
        <f>(((((J66)+(J67))+(J68))+(J69))+(J70))+(J71)</f>
        <v>5800</v>
      </c>
      <c r="K72" s="7">
        <f>(((((K66)+(K67))+(K68))+(K69))+(K70))+(K71)</f>
        <v>5800</v>
      </c>
      <c r="L72" s="8">
        <f t="shared" si="5"/>
        <v>1</v>
      </c>
    </row>
    <row r="73" spans="1:14" x14ac:dyDescent="0.25">
      <c r="A73" s="3" t="s">
        <v>67</v>
      </c>
      <c r="B73" s="33" t="s">
        <v>111</v>
      </c>
      <c r="C73" s="12"/>
      <c r="D73" s="48"/>
      <c r="E73" s="48"/>
      <c r="F73" s="47" t="str">
        <f t="shared" si="4"/>
        <v/>
      </c>
      <c r="G73" s="27">
        <v>339.38</v>
      </c>
      <c r="H73" s="11"/>
      <c r="I73" s="14" t="str">
        <f t="shared" si="6"/>
        <v/>
      </c>
      <c r="J73" s="4"/>
      <c r="K73" s="5">
        <f>6500</f>
        <v>6500</v>
      </c>
      <c r="L73" s="6">
        <f t="shared" si="5"/>
        <v>0</v>
      </c>
    </row>
    <row r="74" spans="1:14" x14ac:dyDescent="0.25">
      <c r="A74" s="3" t="s">
        <v>68</v>
      </c>
      <c r="B74" s="17" t="s">
        <v>123</v>
      </c>
      <c r="C74" s="21">
        <v>2800</v>
      </c>
      <c r="D74" s="46">
        <v>453.54</v>
      </c>
      <c r="E74" s="46">
        <f>2800</f>
        <v>2800</v>
      </c>
      <c r="F74" s="47">
        <f t="shared" si="4"/>
        <v>0.16197857142857144</v>
      </c>
      <c r="G74" s="28">
        <v>2727</v>
      </c>
      <c r="H74" s="13">
        <v>3000</v>
      </c>
      <c r="I74" s="14">
        <f t="shared" si="6"/>
        <v>0.90900000000000003</v>
      </c>
      <c r="J74" s="5">
        <f>2265.4</f>
        <v>2265.4</v>
      </c>
      <c r="K74" s="4"/>
      <c r="L74" s="6" t="str">
        <f t="shared" si="5"/>
        <v/>
      </c>
      <c r="N74" s="24"/>
    </row>
    <row r="75" spans="1:14" x14ac:dyDescent="0.25">
      <c r="A75" s="3" t="s">
        <v>69</v>
      </c>
      <c r="B75" s="17" t="s">
        <v>124</v>
      </c>
      <c r="C75" s="12">
        <v>200</v>
      </c>
      <c r="D75" s="48"/>
      <c r="E75" s="46">
        <f>200</f>
        <v>200</v>
      </c>
      <c r="F75" s="47">
        <f t="shared" si="4"/>
        <v>0</v>
      </c>
      <c r="G75" s="27"/>
      <c r="H75" s="13">
        <v>100</v>
      </c>
      <c r="I75" s="14">
        <f t="shared" si="6"/>
        <v>0</v>
      </c>
      <c r="J75" s="5">
        <f>96</f>
        <v>96</v>
      </c>
      <c r="K75" s="4"/>
      <c r="L75" s="6" t="str">
        <f t="shared" si="5"/>
        <v/>
      </c>
    </row>
    <row r="76" spans="1:14" x14ac:dyDescent="0.25">
      <c r="A76" s="3" t="s">
        <v>70</v>
      </c>
      <c r="B76" s="17" t="s">
        <v>125</v>
      </c>
      <c r="C76" s="21">
        <v>1600</v>
      </c>
      <c r="D76" s="48"/>
      <c r="E76" s="46">
        <f>1600</f>
        <v>1600</v>
      </c>
      <c r="F76" s="47">
        <f t="shared" si="4"/>
        <v>0</v>
      </c>
      <c r="G76" s="28">
        <v>1233.6199999999999</v>
      </c>
      <c r="H76" s="13">
        <v>1200</v>
      </c>
      <c r="I76" s="14">
        <f t="shared" si="6"/>
        <v>1.0280166666666666</v>
      </c>
      <c r="J76" s="5">
        <f>1498.94</f>
        <v>1498.94</v>
      </c>
      <c r="K76" s="4"/>
      <c r="L76" s="6" t="str">
        <f t="shared" si="5"/>
        <v/>
      </c>
    </row>
    <row r="77" spans="1:14" x14ac:dyDescent="0.25">
      <c r="A77" s="3" t="s">
        <v>71</v>
      </c>
      <c r="B77" s="17"/>
      <c r="C77" s="22">
        <f>SUM(C73:C76)</f>
        <v>4600</v>
      </c>
      <c r="D77" s="49">
        <f>(((D73)+(D74))+(D75))+(D76)</f>
        <v>453.54</v>
      </c>
      <c r="E77" s="49">
        <f>(((E73)+(E74))+(E75))+(E76)</f>
        <v>4600</v>
      </c>
      <c r="F77" s="50">
        <f t="shared" si="4"/>
        <v>9.8595652173913043E-2</v>
      </c>
      <c r="G77" s="29">
        <f>(((G73)+(G74))+(G75))+(G76)</f>
        <v>4300</v>
      </c>
      <c r="H77" s="7">
        <f>(((H73)+(H74))+(H75))+(H76)</f>
        <v>4300</v>
      </c>
      <c r="I77" s="15">
        <f t="shared" si="6"/>
        <v>1</v>
      </c>
      <c r="J77" s="7">
        <f>(((J73)+(J74))+(J75))+(J76)</f>
        <v>3860.34</v>
      </c>
      <c r="K77" s="7">
        <f>(((K73)+(K74))+(K75))+(K76)</f>
        <v>6500</v>
      </c>
      <c r="L77" s="8">
        <f t="shared" si="5"/>
        <v>0.5938984615384616</v>
      </c>
      <c r="N77" s="23"/>
    </row>
    <row r="78" spans="1:14" x14ac:dyDescent="0.25">
      <c r="A78" s="3" t="s">
        <v>72</v>
      </c>
      <c r="B78" s="17"/>
      <c r="C78" s="12"/>
      <c r="D78" s="48"/>
      <c r="E78" s="48"/>
      <c r="F78" s="47" t="str">
        <f t="shared" si="4"/>
        <v/>
      </c>
      <c r="G78" s="27">
        <v>2603.2399999999998</v>
      </c>
      <c r="H78" s="11"/>
      <c r="I78" s="14" t="str">
        <f t="shared" si="6"/>
        <v/>
      </c>
      <c r="J78" s="4"/>
      <c r="K78" s="4"/>
      <c r="L78" s="6" t="str">
        <f t="shared" si="5"/>
        <v/>
      </c>
    </row>
    <row r="79" spans="1:14" x14ac:dyDescent="0.25">
      <c r="A79" s="3" t="s">
        <v>73</v>
      </c>
      <c r="B79" s="54" t="s">
        <v>137</v>
      </c>
      <c r="C79" s="53">
        <v>500</v>
      </c>
      <c r="D79" s="48"/>
      <c r="E79" s="46">
        <f>500</f>
        <v>500</v>
      </c>
      <c r="F79" s="47">
        <f t="shared" si="4"/>
        <v>0</v>
      </c>
      <c r="G79" s="27"/>
      <c r="H79" s="13">
        <v>500</v>
      </c>
      <c r="I79" s="14">
        <f t="shared" si="6"/>
        <v>0</v>
      </c>
      <c r="J79" s="5">
        <f>600</f>
        <v>600</v>
      </c>
      <c r="K79" s="5">
        <f>600</f>
        <v>600</v>
      </c>
      <c r="L79" s="6">
        <f t="shared" si="5"/>
        <v>1</v>
      </c>
    </row>
    <row r="80" spans="1:14" x14ac:dyDescent="0.25">
      <c r="A80" s="3" t="s">
        <v>74</v>
      </c>
      <c r="B80" s="17"/>
      <c r="C80" s="12"/>
      <c r="D80" s="48"/>
      <c r="E80" s="48"/>
      <c r="F80" s="47" t="str">
        <f t="shared" si="4"/>
        <v/>
      </c>
      <c r="G80" s="27"/>
      <c r="H80" s="11">
        <v>0</v>
      </c>
      <c r="I80" s="14" t="str">
        <f t="shared" si="6"/>
        <v/>
      </c>
      <c r="J80" s="4"/>
      <c r="K80" s="4"/>
      <c r="L80" s="6" t="str">
        <f t="shared" si="5"/>
        <v/>
      </c>
    </row>
    <row r="81" spans="1:15" x14ac:dyDescent="0.25">
      <c r="A81" s="3" t="s">
        <v>75</v>
      </c>
      <c r="B81" s="54" t="s">
        <v>137</v>
      </c>
      <c r="C81" s="53">
        <v>2000</v>
      </c>
      <c r="D81" s="55">
        <v>2000</v>
      </c>
      <c r="E81" s="46">
        <f>2000</f>
        <v>2000</v>
      </c>
      <c r="F81" s="47">
        <f t="shared" si="4"/>
        <v>1</v>
      </c>
      <c r="G81" s="27"/>
      <c r="H81" s="11">
        <v>2000</v>
      </c>
      <c r="I81" s="14">
        <f t="shared" si="6"/>
        <v>0</v>
      </c>
      <c r="J81" s="5">
        <f>2066.7</f>
        <v>2066.6999999999998</v>
      </c>
      <c r="K81" s="5">
        <f>2000</f>
        <v>2000</v>
      </c>
      <c r="L81" s="6">
        <f t="shared" si="5"/>
        <v>1.03335</v>
      </c>
    </row>
    <row r="82" spans="1:15" x14ac:dyDescent="0.25">
      <c r="A82" s="3" t="s">
        <v>76</v>
      </c>
      <c r="B82" s="54" t="s">
        <v>137</v>
      </c>
      <c r="C82" s="21">
        <v>500</v>
      </c>
      <c r="D82" s="48"/>
      <c r="E82" s="46">
        <f>500</f>
        <v>500</v>
      </c>
      <c r="F82" s="47">
        <f t="shared" si="4"/>
        <v>0</v>
      </c>
      <c r="G82" s="27">
        <v>396.76</v>
      </c>
      <c r="H82" s="13">
        <v>500</v>
      </c>
      <c r="I82" s="14">
        <f t="shared" si="6"/>
        <v>0.79352</v>
      </c>
      <c r="J82" s="5">
        <f>433.3</f>
        <v>433.3</v>
      </c>
      <c r="K82" s="5">
        <f>500</f>
        <v>500</v>
      </c>
      <c r="L82" s="6">
        <f t="shared" si="5"/>
        <v>0.86660000000000004</v>
      </c>
      <c r="N82" s="34"/>
    </row>
    <row r="83" spans="1:15" x14ac:dyDescent="0.25">
      <c r="A83" s="3" t="s">
        <v>77</v>
      </c>
      <c r="B83" s="17"/>
      <c r="C83" s="22">
        <f>SUM(C78:C82)</f>
        <v>3000</v>
      </c>
      <c r="D83" s="49">
        <f>((((D78)+(D79))+(D80))+(D81))+(D82)</f>
        <v>2000</v>
      </c>
      <c r="E83" s="49">
        <f>((((E78)+(E79))+(E80))+(E81))+(E82)</f>
        <v>3000</v>
      </c>
      <c r="F83" s="50">
        <f t="shared" si="4"/>
        <v>0.66666666666666663</v>
      </c>
      <c r="G83" s="29">
        <f>((((G78)+(G79))+(G80))+(G81))+(G82)</f>
        <v>3000</v>
      </c>
      <c r="H83" s="7">
        <f>((((H78)+(H79))+(H80))+(H81))+(H82)</f>
        <v>3000</v>
      </c>
      <c r="I83" s="15">
        <f t="shared" si="6"/>
        <v>1</v>
      </c>
      <c r="J83" s="7">
        <f>((((J78)+(J79))+(J80))+(J81))+(J82)</f>
        <v>3100</v>
      </c>
      <c r="K83" s="7">
        <f>((((K78)+(K79))+(K80))+(K81))+(K82)</f>
        <v>3100</v>
      </c>
      <c r="L83" s="8">
        <f t="shared" si="5"/>
        <v>1</v>
      </c>
    </row>
    <row r="84" spans="1:15" x14ac:dyDescent="0.25">
      <c r="A84" s="3" t="s">
        <v>78</v>
      </c>
      <c r="B84" s="17"/>
      <c r="C84" s="12"/>
      <c r="D84" s="48"/>
      <c r="E84" s="48"/>
      <c r="F84" s="47" t="str">
        <f t="shared" si="4"/>
        <v/>
      </c>
      <c r="G84" s="27">
        <v>-12.92</v>
      </c>
      <c r="H84" s="11"/>
      <c r="I84" s="14" t="str">
        <f t="shared" si="6"/>
        <v/>
      </c>
      <c r="J84" s="4"/>
      <c r="K84" s="4"/>
      <c r="L84" s="6" t="str">
        <f t="shared" si="5"/>
        <v/>
      </c>
    </row>
    <row r="85" spans="1:15" ht="15" customHeight="1" x14ac:dyDescent="0.25">
      <c r="A85" s="3" t="s">
        <v>79</v>
      </c>
      <c r="B85" s="54" t="s">
        <v>126</v>
      </c>
      <c r="C85" s="53">
        <v>300</v>
      </c>
      <c r="D85" s="48">
        <v>200</v>
      </c>
      <c r="E85" s="46">
        <f>300</f>
        <v>300</v>
      </c>
      <c r="F85" s="47">
        <f t="shared" si="4"/>
        <v>0.66666666666666663</v>
      </c>
      <c r="G85" s="27">
        <v>25</v>
      </c>
      <c r="H85" s="11"/>
      <c r="I85" s="14" t="str">
        <f t="shared" si="6"/>
        <v/>
      </c>
      <c r="J85" s="5">
        <f>120</f>
        <v>120</v>
      </c>
      <c r="K85" s="5">
        <f>300</f>
        <v>300</v>
      </c>
      <c r="L85" s="6">
        <f t="shared" si="5"/>
        <v>0.4</v>
      </c>
    </row>
    <row r="86" spans="1:15" ht="15" customHeight="1" x14ac:dyDescent="0.25">
      <c r="A86" s="3" t="s">
        <v>80</v>
      </c>
      <c r="B86" s="54" t="s">
        <v>127</v>
      </c>
      <c r="C86" s="52">
        <v>450</v>
      </c>
      <c r="D86" s="48"/>
      <c r="E86" s="46">
        <f>450</f>
        <v>450</v>
      </c>
      <c r="F86" s="47">
        <f t="shared" si="4"/>
        <v>0</v>
      </c>
      <c r="G86" s="28">
        <v>208.26</v>
      </c>
      <c r="H86" s="13">
        <v>300</v>
      </c>
      <c r="I86" s="14">
        <f t="shared" si="6"/>
        <v>0.69419999999999993</v>
      </c>
      <c r="J86" s="5">
        <f>434.79</f>
        <v>434.79</v>
      </c>
      <c r="K86" s="5">
        <f>400</f>
        <v>400</v>
      </c>
      <c r="L86" s="6">
        <f t="shared" si="5"/>
        <v>1.086975</v>
      </c>
    </row>
    <row r="87" spans="1:15" ht="15" customHeight="1" x14ac:dyDescent="0.25">
      <c r="A87" s="3" t="s">
        <v>81</v>
      </c>
      <c r="B87" s="54" t="s">
        <v>128</v>
      </c>
      <c r="C87" s="53">
        <v>180</v>
      </c>
      <c r="D87" s="48">
        <v>240</v>
      </c>
      <c r="E87" s="46">
        <f>420</f>
        <v>420</v>
      </c>
      <c r="F87" s="47">
        <f t="shared" si="4"/>
        <v>0.5714285714285714</v>
      </c>
      <c r="G87" s="27">
        <v>115</v>
      </c>
      <c r="H87" s="11"/>
      <c r="I87" s="14" t="str">
        <f t="shared" si="6"/>
        <v/>
      </c>
      <c r="J87" s="5">
        <f>300</f>
        <v>300</v>
      </c>
      <c r="K87" s="5">
        <f>300</f>
        <v>300</v>
      </c>
      <c r="L87" s="6">
        <f t="shared" si="5"/>
        <v>1</v>
      </c>
    </row>
    <row r="88" spans="1:15" ht="15" customHeight="1" x14ac:dyDescent="0.25">
      <c r="A88" s="3" t="s">
        <v>82</v>
      </c>
      <c r="B88" s="54" t="s">
        <v>126</v>
      </c>
      <c r="C88" s="52">
        <v>300</v>
      </c>
      <c r="D88" s="46">
        <v>288.5</v>
      </c>
      <c r="E88" s="46">
        <f>300</f>
        <v>300</v>
      </c>
      <c r="F88" s="47">
        <f t="shared" si="4"/>
        <v>0.96166666666666667</v>
      </c>
      <c r="G88" s="28">
        <v>264.66000000000003</v>
      </c>
      <c r="H88" s="13">
        <v>300</v>
      </c>
      <c r="I88" s="14">
        <f t="shared" si="6"/>
        <v>0.8822000000000001</v>
      </c>
      <c r="J88" s="5">
        <f>294.03</f>
        <v>294.02999999999997</v>
      </c>
      <c r="K88" s="5">
        <f>300</f>
        <v>300</v>
      </c>
      <c r="L88" s="6">
        <f t="shared" si="5"/>
        <v>0.98009999999999986</v>
      </c>
    </row>
    <row r="89" spans="1:15" x14ac:dyDescent="0.25">
      <c r="A89" s="3" t="s">
        <v>83</v>
      </c>
      <c r="B89" s="17"/>
      <c r="C89" s="22">
        <f>SUM(C84:C88)</f>
        <v>1230</v>
      </c>
      <c r="D89" s="49">
        <f>((((D84)+(D85))+(D86))+(D87))+(D88)</f>
        <v>728.5</v>
      </c>
      <c r="E89" s="49">
        <f>((((E84)+(E85))+(E86))+(E87))+(E88)</f>
        <v>1470</v>
      </c>
      <c r="F89" s="50">
        <f t="shared" si="4"/>
        <v>0.49557823129251699</v>
      </c>
      <c r="G89" s="29">
        <f>((((G84)+(G85))+(G86))+(G87))+(G88)</f>
        <v>600</v>
      </c>
      <c r="H89" s="7">
        <f>((((H84)+(H85))+(H86))+(H87))+(H88)</f>
        <v>600</v>
      </c>
      <c r="I89" s="15">
        <f t="shared" si="6"/>
        <v>1</v>
      </c>
      <c r="J89" s="7">
        <f>((((J84)+(J85))+(J86))+(J87))+(J88)</f>
        <v>1148.82</v>
      </c>
      <c r="K89" s="7">
        <f>((((K84)+(K85))+(K86))+(K87))+(K88)</f>
        <v>1300</v>
      </c>
      <c r="L89" s="8">
        <f t="shared" si="5"/>
        <v>0.88370769230769231</v>
      </c>
      <c r="N89" s="23"/>
    </row>
    <row r="90" spans="1:15" x14ac:dyDescent="0.25">
      <c r="A90" s="3" t="s">
        <v>84</v>
      </c>
      <c r="B90" s="17"/>
      <c r="C90" s="12"/>
      <c r="D90" s="55">
        <v>800</v>
      </c>
      <c r="E90" s="48"/>
      <c r="F90" s="47" t="str">
        <f t="shared" si="4"/>
        <v/>
      </c>
      <c r="G90" s="27">
        <v>1210.52</v>
      </c>
      <c r="H90" s="11"/>
      <c r="I90" s="14" t="str">
        <f t="shared" si="6"/>
        <v/>
      </c>
      <c r="J90" s="4"/>
      <c r="K90" s="4"/>
      <c r="L90" s="6" t="str">
        <f t="shared" si="5"/>
        <v/>
      </c>
    </row>
    <row r="91" spans="1:15" x14ac:dyDescent="0.25">
      <c r="A91" s="3" t="s">
        <v>85</v>
      </c>
      <c r="B91" s="54" t="s">
        <v>137</v>
      </c>
      <c r="C91" s="52">
        <v>400</v>
      </c>
      <c r="D91" s="46">
        <v>225</v>
      </c>
      <c r="E91" s="46">
        <f>900</f>
        <v>900</v>
      </c>
      <c r="F91" s="47">
        <f t="shared" si="4"/>
        <v>0.25</v>
      </c>
      <c r="G91" s="28">
        <v>100</v>
      </c>
      <c r="H91" s="13">
        <v>300</v>
      </c>
      <c r="I91" s="14">
        <f t="shared" si="6"/>
        <v>0.33333333333333331</v>
      </c>
      <c r="J91" s="5">
        <f>900</f>
        <v>900</v>
      </c>
      <c r="K91" s="5">
        <f>900</f>
        <v>900</v>
      </c>
      <c r="L91" s="6">
        <f t="shared" si="5"/>
        <v>1</v>
      </c>
    </row>
    <row r="92" spans="1:15" x14ac:dyDescent="0.25">
      <c r="A92" s="3" t="s">
        <v>86</v>
      </c>
      <c r="B92" s="54" t="s">
        <v>137</v>
      </c>
      <c r="C92" s="12">
        <v>250</v>
      </c>
      <c r="D92" s="48"/>
      <c r="E92" s="46">
        <f>250</f>
        <v>250</v>
      </c>
      <c r="F92" s="47">
        <f t="shared" si="4"/>
        <v>0</v>
      </c>
      <c r="G92" s="27"/>
      <c r="H92" s="11">
        <v>0</v>
      </c>
      <c r="I92" s="14" t="str">
        <f t="shared" si="6"/>
        <v/>
      </c>
      <c r="J92" s="5">
        <f>250</f>
        <v>250</v>
      </c>
      <c r="K92" s="5">
        <f>250</f>
        <v>250</v>
      </c>
      <c r="L92" s="6">
        <f t="shared" si="5"/>
        <v>1</v>
      </c>
    </row>
    <row r="93" spans="1:15" x14ac:dyDescent="0.25">
      <c r="A93" s="3" t="s">
        <v>87</v>
      </c>
      <c r="B93" s="54" t="s">
        <v>137</v>
      </c>
      <c r="C93" s="21">
        <v>50</v>
      </c>
      <c r="D93" s="48"/>
      <c r="E93" s="46">
        <f>100</f>
        <v>100</v>
      </c>
      <c r="F93" s="47">
        <f t="shared" si="4"/>
        <v>0</v>
      </c>
      <c r="G93" s="27"/>
      <c r="H93" s="11">
        <v>0</v>
      </c>
      <c r="I93" s="14" t="str">
        <f t="shared" si="6"/>
        <v/>
      </c>
      <c r="J93" s="5">
        <f>893</f>
        <v>893</v>
      </c>
      <c r="K93" s="5">
        <f>900</f>
        <v>900</v>
      </c>
      <c r="L93" s="6">
        <f t="shared" si="5"/>
        <v>0.99222222222222223</v>
      </c>
    </row>
    <row r="94" spans="1:15" x14ac:dyDescent="0.25">
      <c r="A94" s="3" t="s">
        <v>88</v>
      </c>
      <c r="B94" s="17"/>
      <c r="C94" s="21">
        <v>1900</v>
      </c>
      <c r="D94" s="60">
        <v>1600</v>
      </c>
      <c r="E94" s="46">
        <f>1500</f>
        <v>1500</v>
      </c>
      <c r="F94" s="47">
        <f t="shared" si="4"/>
        <v>1.0666666666666667</v>
      </c>
      <c r="G94" s="28">
        <v>725</v>
      </c>
      <c r="H94" s="11">
        <v>1500</v>
      </c>
      <c r="I94" s="14">
        <f t="shared" si="6"/>
        <v>0.48333333333333334</v>
      </c>
      <c r="J94" s="5">
        <f>1460.34</f>
        <v>1460.34</v>
      </c>
      <c r="K94" s="5">
        <f>1900</f>
        <v>1900</v>
      </c>
      <c r="L94" s="6">
        <f t="shared" si="5"/>
        <v>0.76859999999999995</v>
      </c>
      <c r="N94" s="34">
        <v>650</v>
      </c>
    </row>
    <row r="95" spans="1:15" x14ac:dyDescent="0.25">
      <c r="A95" s="3" t="s">
        <v>89</v>
      </c>
      <c r="B95" s="17" t="s">
        <v>129</v>
      </c>
      <c r="C95" s="21">
        <v>1000</v>
      </c>
      <c r="D95" s="60">
        <v>1185.76</v>
      </c>
      <c r="E95" s="46">
        <f>1000</f>
        <v>1000</v>
      </c>
      <c r="F95" s="47">
        <f t="shared" si="4"/>
        <v>1.1857599999999999</v>
      </c>
      <c r="G95" s="28">
        <v>900.83</v>
      </c>
      <c r="H95" s="13">
        <v>1000</v>
      </c>
      <c r="I95" s="14">
        <f t="shared" si="6"/>
        <v>0.90083000000000002</v>
      </c>
      <c r="J95" s="5">
        <f>1060.82</f>
        <v>1060.82</v>
      </c>
      <c r="K95" s="5">
        <f>1300</f>
        <v>1300</v>
      </c>
      <c r="L95" s="6">
        <f t="shared" si="5"/>
        <v>0.81601538461538459</v>
      </c>
      <c r="N95" s="34">
        <v>300</v>
      </c>
      <c r="O95" t="s">
        <v>164</v>
      </c>
    </row>
    <row r="96" spans="1:15" x14ac:dyDescent="0.25">
      <c r="A96" s="3" t="s">
        <v>90</v>
      </c>
      <c r="B96" s="17"/>
      <c r="C96" s="12"/>
      <c r="D96" s="48"/>
      <c r="E96" s="48"/>
      <c r="F96" s="47" t="str">
        <f t="shared" si="4"/>
        <v/>
      </c>
      <c r="G96" s="28"/>
      <c r="H96" s="13">
        <v>0</v>
      </c>
      <c r="I96" s="14" t="str">
        <f t="shared" si="6"/>
        <v/>
      </c>
      <c r="J96" s="5">
        <f>148.04</f>
        <v>148.04</v>
      </c>
      <c r="K96" s="4"/>
      <c r="L96" s="6" t="str">
        <f t="shared" si="5"/>
        <v/>
      </c>
      <c r="N96">
        <v>200</v>
      </c>
    </row>
    <row r="97" spans="1:15" x14ac:dyDescent="0.25">
      <c r="A97" s="51" t="s">
        <v>91</v>
      </c>
      <c r="B97" s="17"/>
      <c r="C97" s="21">
        <v>6230</v>
      </c>
      <c r="D97" s="46">
        <v>4562.0200000000004</v>
      </c>
      <c r="E97" s="46">
        <f>4200</f>
        <v>4200</v>
      </c>
      <c r="F97" s="47">
        <f t="shared" si="4"/>
        <v>1.0861952380952382</v>
      </c>
      <c r="G97" s="28">
        <v>3662.35</v>
      </c>
      <c r="H97" s="13">
        <v>3798.7</v>
      </c>
      <c r="I97" s="14">
        <f t="shared" si="6"/>
        <v>0.96410614157474928</v>
      </c>
      <c r="J97" s="4"/>
      <c r="K97" s="4"/>
      <c r="L97" s="6" t="str">
        <f t="shared" si="5"/>
        <v/>
      </c>
      <c r="N97" s="34">
        <v>250</v>
      </c>
    </row>
    <row r="98" spans="1:15" x14ac:dyDescent="0.25">
      <c r="A98" s="3" t="s">
        <v>92</v>
      </c>
      <c r="B98" s="17"/>
      <c r="C98" s="21">
        <v>500</v>
      </c>
      <c r="D98" s="48"/>
      <c r="E98" s="46">
        <f>500</f>
        <v>500</v>
      </c>
      <c r="F98" s="47">
        <f t="shared" si="4"/>
        <v>0</v>
      </c>
      <c r="G98" s="27">
        <v>500</v>
      </c>
      <c r="H98" s="11">
        <v>500</v>
      </c>
      <c r="I98" s="14">
        <f t="shared" si="6"/>
        <v>1</v>
      </c>
      <c r="J98" s="5">
        <f>500</f>
        <v>500</v>
      </c>
      <c r="K98" s="5">
        <f>500</f>
        <v>500</v>
      </c>
      <c r="L98" s="6">
        <f t="shared" si="5"/>
        <v>1</v>
      </c>
      <c r="N98" s="34">
        <v>200</v>
      </c>
    </row>
    <row r="99" spans="1:15" x14ac:dyDescent="0.25">
      <c r="A99" s="3" t="s">
        <v>93</v>
      </c>
      <c r="B99" s="17"/>
      <c r="C99" s="22">
        <f>SUM(C90:C98)</f>
        <v>10330</v>
      </c>
      <c r="D99" s="49">
        <f>((((((((D90)+(D91))+(D92))+(D93))+(D94))+(D95))+(D96))+(D97))+(D98)</f>
        <v>8372.7800000000007</v>
      </c>
      <c r="E99" s="49">
        <f>((((((((E90)+(E91))+(E92))+(E93))+(E94))+(E95))+(E96))+(E97))+(E98)</f>
        <v>8450</v>
      </c>
      <c r="F99" s="50">
        <f t="shared" si="4"/>
        <v>0.99086153846153857</v>
      </c>
      <c r="G99" s="29">
        <f>((((((((G90)+(G91))+(G92))+(G93))+(G94))+(G95))+(G96))+(G97))+(G98)</f>
        <v>7098.7</v>
      </c>
      <c r="H99" s="7">
        <f>((((((((H90)+(H91))+(H92))+(H93))+(H94))+(H95))+(H96))+(H97))+(H98)</f>
        <v>7098.7</v>
      </c>
      <c r="I99" s="15">
        <f t="shared" si="6"/>
        <v>1</v>
      </c>
      <c r="J99" s="7">
        <f>((((((((J90)+(J91))+(J92))+(J93))+(J94))+(J95))+(J96))+(J97))+(J98)</f>
        <v>5212.2</v>
      </c>
      <c r="K99" s="7">
        <f>((((((((K90)+(K91))+(K92))+(K93))+(K94))+(K95))+(K96))+(K97))+(K98)</f>
        <v>5750</v>
      </c>
      <c r="L99" s="8">
        <f t="shared" si="5"/>
        <v>0.9064695652173913</v>
      </c>
    </row>
    <row r="100" spans="1:15" x14ac:dyDescent="0.25">
      <c r="A100" s="3" t="s">
        <v>94</v>
      </c>
      <c r="B100" s="17"/>
      <c r="C100" s="12"/>
      <c r="D100" s="11"/>
      <c r="E100" s="11"/>
      <c r="F100" s="40"/>
      <c r="G100" s="27"/>
      <c r="H100" s="11"/>
      <c r="I100" s="14" t="str">
        <f t="shared" si="6"/>
        <v/>
      </c>
      <c r="J100" s="5">
        <f>236.16</f>
        <v>236.16</v>
      </c>
      <c r="K100" s="4"/>
      <c r="L100" s="6" t="str">
        <f t="shared" si="5"/>
        <v/>
      </c>
    </row>
    <row r="101" spans="1:15" x14ac:dyDescent="0.25">
      <c r="A101" s="3" t="s">
        <v>95</v>
      </c>
      <c r="B101" s="33" t="s">
        <v>116</v>
      </c>
      <c r="C101" s="22">
        <f>C65+C72+C77+C83+C89+C99</f>
        <v>33220</v>
      </c>
      <c r="D101" s="29">
        <f>(((((((((((((((((((((((((D65)+(D72))+(D77))+(D83))+(D89))+(D99))+(D100))))))))))))))))))))</f>
        <v>18267.800000000003</v>
      </c>
      <c r="E101" s="7">
        <f>(((((((((((((((((((((((((E65)+(E72))+(E77))+(E83))+(E89))+(E99))+(E100))))))))))))))))))))</f>
        <v>33330</v>
      </c>
      <c r="F101" s="15">
        <f t="shared" ref="F101:F102" si="7">IF(E101=0,"",(D101)/(E101))</f>
        <v>0.54808880888088818</v>
      </c>
      <c r="G101" s="29">
        <f>(((((((((((((((((((((((((G65)+(G72))+(G77))+(G83))+(G89))+(G99))+(G100))))))))))))))))))))</f>
        <v>31689.599999999999</v>
      </c>
      <c r="H101" s="7">
        <f>(((((((((((((((((((((((((H65)+(H72))+(H77))+(H83))+(H89))+(H99))+(H100))))))))))))))))))))</f>
        <v>31689.600000000002</v>
      </c>
      <c r="I101" s="15">
        <f t="shared" si="6"/>
        <v>0.99999999999999989</v>
      </c>
      <c r="J101" s="7">
        <f>(((((((((((((((((((((((((J65)+(J72))+(J77))+(J83))+(J89))+(J99))+(J100))))))))))))))))))))</f>
        <v>28513.71</v>
      </c>
      <c r="K101" s="7">
        <f>(((((((((((((((((((((((((K65)+(K72))+(K77))+(K83))+(K89))+(K99))+(K100))))))))))))))))))))</f>
        <v>35044</v>
      </c>
      <c r="L101" s="8">
        <f t="shared" si="5"/>
        <v>0.81365454856751507</v>
      </c>
      <c r="O101" s="24"/>
    </row>
    <row r="102" spans="1:15" x14ac:dyDescent="0.25">
      <c r="A102" s="3" t="s">
        <v>96</v>
      </c>
      <c r="B102" s="17"/>
      <c r="C102" s="22">
        <f>C49-C101</f>
        <v>-7663.1000000000022</v>
      </c>
      <c r="D102" s="29">
        <f>(D49)-(D101)</f>
        <v>7225.2000000000007</v>
      </c>
      <c r="E102" s="7">
        <f>(E49)-(E101)</f>
        <v>-6230.1999999999971</v>
      </c>
      <c r="F102" s="15">
        <f t="shared" si="7"/>
        <v>-1.1597059484446735</v>
      </c>
      <c r="G102" s="29">
        <f>(G49)-(G101)</f>
        <v>135.60000000000946</v>
      </c>
      <c r="H102" s="7">
        <f>(H49)-(H101)</f>
        <v>135.60000000000218</v>
      </c>
      <c r="I102" s="15">
        <f t="shared" si="6"/>
        <v>1.0000000000000537</v>
      </c>
      <c r="J102" s="7">
        <f>(J49)-(J101)</f>
        <v>3433.3899999999958</v>
      </c>
      <c r="K102" s="7">
        <f>(K49)-(K101)</f>
        <v>-1540</v>
      </c>
      <c r="L102" s="8">
        <f t="shared" si="5"/>
        <v>-2.2294740259740231</v>
      </c>
    </row>
    <row r="103" spans="1:15" x14ac:dyDescent="0.25">
      <c r="A103" s="3" t="s">
        <v>97</v>
      </c>
      <c r="B103" s="17"/>
      <c r="C103" s="12"/>
      <c r="D103" s="11"/>
      <c r="E103" s="11"/>
      <c r="F103" s="40"/>
      <c r="G103" s="27"/>
      <c r="H103" s="11"/>
      <c r="I103" s="14" t="str">
        <f t="shared" si="6"/>
        <v/>
      </c>
      <c r="J103" s="4"/>
      <c r="K103" s="4"/>
      <c r="L103" s="4"/>
    </row>
    <row r="104" spans="1:15" x14ac:dyDescent="0.25">
      <c r="A104" s="3" t="s">
        <v>98</v>
      </c>
      <c r="B104" s="17"/>
      <c r="C104" s="12"/>
      <c r="D104" s="11">
        <v>22.8</v>
      </c>
      <c r="E104" s="11"/>
      <c r="F104" s="40"/>
      <c r="G104" s="27">
        <v>223.4</v>
      </c>
      <c r="H104" s="11"/>
      <c r="I104" s="14" t="str">
        <f t="shared" si="6"/>
        <v/>
      </c>
      <c r="J104" s="4"/>
      <c r="K104" s="4"/>
      <c r="L104" s="6" t="str">
        <f>IF(K104=0,"",(J104)/(K104))</f>
        <v/>
      </c>
    </row>
    <row r="105" spans="1:15" x14ac:dyDescent="0.25">
      <c r="A105" s="3" t="s">
        <v>99</v>
      </c>
      <c r="B105" s="17"/>
      <c r="C105" s="12"/>
      <c r="D105" s="11"/>
      <c r="E105" s="11"/>
      <c r="F105" s="40"/>
      <c r="G105" s="27"/>
      <c r="H105" s="11"/>
      <c r="I105" s="14" t="str">
        <f t="shared" si="6"/>
        <v/>
      </c>
      <c r="J105" s="5">
        <f>540</f>
        <v>540</v>
      </c>
      <c r="K105" s="5">
        <f>540</f>
        <v>540</v>
      </c>
      <c r="L105" s="6">
        <f>IF(K105=0,"",(J105)/(K105))</f>
        <v>1</v>
      </c>
    </row>
    <row r="106" spans="1:15" x14ac:dyDescent="0.25">
      <c r="A106" s="3" t="s">
        <v>100</v>
      </c>
      <c r="B106" s="17"/>
      <c r="C106" s="22">
        <f>SUM(C103:C105)</f>
        <v>0</v>
      </c>
      <c r="D106" s="49">
        <f>(D104)+(D105)</f>
        <v>22.8</v>
      </c>
      <c r="E106" s="49">
        <f>(E104)+(E105)</f>
        <v>0</v>
      </c>
      <c r="F106" s="50" t="str">
        <f>IF(E106=0,"",(D106)/(E106))</f>
        <v/>
      </c>
      <c r="G106" s="29">
        <f>(G104)+(G105)</f>
        <v>223.4</v>
      </c>
      <c r="H106" s="7">
        <f>(H104)+(H105)</f>
        <v>0</v>
      </c>
      <c r="I106" s="15" t="str">
        <f>IF(H106=0,"",(G106)/(H106))</f>
        <v/>
      </c>
      <c r="J106" s="7">
        <f>(J104)+(J105)</f>
        <v>540</v>
      </c>
      <c r="K106" s="7">
        <f>(K104)+(K105)</f>
        <v>540</v>
      </c>
      <c r="L106" s="8">
        <f>IF(K106=0,"",(J106)/(K106))</f>
        <v>1</v>
      </c>
    </row>
    <row r="107" spans="1:15" x14ac:dyDescent="0.25">
      <c r="A107" s="3" t="s">
        <v>101</v>
      </c>
      <c r="B107" s="17"/>
      <c r="C107" s="12"/>
      <c r="D107" s="11"/>
      <c r="E107" s="11"/>
      <c r="F107" s="40"/>
      <c r="G107" s="27"/>
      <c r="H107" s="11"/>
      <c r="I107" s="14" t="str">
        <f t="shared" si="6"/>
        <v/>
      </c>
      <c r="J107" s="4"/>
      <c r="K107" s="4"/>
      <c r="L107" s="4"/>
    </row>
    <row r="108" spans="1:15" x14ac:dyDescent="0.25">
      <c r="A108" s="3" t="s">
        <v>102</v>
      </c>
      <c r="B108" s="17"/>
      <c r="C108" s="12"/>
      <c r="D108" s="11"/>
      <c r="E108" s="11"/>
      <c r="F108" s="40"/>
      <c r="G108" s="27"/>
      <c r="H108" s="11"/>
      <c r="I108" s="14" t="str">
        <f t="shared" si="6"/>
        <v/>
      </c>
      <c r="J108" s="4"/>
      <c r="K108" s="4"/>
      <c r="L108" s="6" t="str">
        <f>IF(K108=0,"",(J108)/(K108))</f>
        <v/>
      </c>
    </row>
    <row r="109" spans="1:15" x14ac:dyDescent="0.25">
      <c r="A109" s="3" t="s">
        <v>103</v>
      </c>
      <c r="B109" s="17"/>
      <c r="C109" s="22">
        <f>C107+C108</f>
        <v>0</v>
      </c>
      <c r="D109" s="49">
        <f>D108</f>
        <v>0</v>
      </c>
      <c r="E109" s="49">
        <f>E108</f>
        <v>0</v>
      </c>
      <c r="F109" s="50" t="str">
        <f>IF(E109=0,"",(D109)/(E109))</f>
        <v/>
      </c>
      <c r="G109" s="29">
        <f>G108</f>
        <v>0</v>
      </c>
      <c r="H109" s="7">
        <f>H108</f>
        <v>0</v>
      </c>
      <c r="I109" s="15" t="str">
        <f>IF(H109=0,"",(G109)/(H109))</f>
        <v/>
      </c>
      <c r="J109" s="7">
        <f>J108</f>
        <v>0</v>
      </c>
      <c r="K109" s="7">
        <f>K108</f>
        <v>0</v>
      </c>
      <c r="L109" s="8" t="str">
        <f>IF(K109=0,"",(J109)/(K109))</f>
        <v/>
      </c>
    </row>
    <row r="110" spans="1:15" x14ac:dyDescent="0.25">
      <c r="A110" s="3" t="s">
        <v>104</v>
      </c>
      <c r="B110" s="17"/>
      <c r="C110" s="22">
        <f>C106-C109</f>
        <v>0</v>
      </c>
      <c r="D110" s="49">
        <f>(D106)-(D109)</f>
        <v>22.8</v>
      </c>
      <c r="E110" s="49">
        <f>(E106)-(E109)</f>
        <v>0</v>
      </c>
      <c r="F110" s="50" t="str">
        <f>IF(E110=0,"",(D110)/(E110))</f>
        <v/>
      </c>
      <c r="G110" s="29">
        <f>(G106)-(G109)</f>
        <v>223.4</v>
      </c>
      <c r="H110" s="7">
        <f>(H106)-(H109)</f>
        <v>0</v>
      </c>
      <c r="I110" s="15" t="str">
        <f>IF(H110=0,"",(G110)/(H110))</f>
        <v/>
      </c>
      <c r="J110" s="7">
        <f>(J106)-(J109)</f>
        <v>540</v>
      </c>
      <c r="K110" s="7">
        <f>(K106)-(K109)</f>
        <v>540</v>
      </c>
      <c r="L110" s="8">
        <f>IF(K110=0,"",(J110)/(K110))</f>
        <v>1</v>
      </c>
    </row>
    <row r="111" spans="1:15" x14ac:dyDescent="0.25">
      <c r="A111" s="3" t="s">
        <v>105</v>
      </c>
      <c r="B111" s="33" t="s">
        <v>136</v>
      </c>
      <c r="C111" s="22">
        <f>C102+C110</f>
        <v>-7663.1000000000022</v>
      </c>
      <c r="D111" s="49">
        <f>(D102)+(D110)</f>
        <v>7248.0000000000009</v>
      </c>
      <c r="E111" s="49">
        <f>(E102)+(E110)</f>
        <v>-6230.1999999999971</v>
      </c>
      <c r="F111" s="50">
        <f>IF(E111=0,"",(D111)/(E111))</f>
        <v>-1.1633655420371745</v>
      </c>
      <c r="G111" s="29">
        <f>(G102)+(G110)</f>
        <v>359.00000000000944</v>
      </c>
      <c r="H111" s="7">
        <f>(H102)+(H110)</f>
        <v>135.60000000000218</v>
      </c>
      <c r="I111" s="15">
        <f>IF(H111=0,"",(G111)/(H111))</f>
        <v>2.6474926253687587</v>
      </c>
      <c r="J111" s="7">
        <f>(J102)+(J110)</f>
        <v>3973.3899999999958</v>
      </c>
      <c r="K111" s="7">
        <f>(K102)+(K110)</f>
        <v>-1000</v>
      </c>
      <c r="L111" s="8">
        <f>IF(K111=0,"",(J111)/(K111))</f>
        <v>-3.9733899999999958</v>
      </c>
    </row>
    <row r="112" spans="1:15" x14ac:dyDescent="0.25">
      <c r="A112" s="3"/>
      <c r="B112" s="17"/>
      <c r="C112" s="21"/>
      <c r="D112" s="88"/>
      <c r="E112" s="89"/>
      <c r="F112" s="90"/>
      <c r="G112" s="81"/>
      <c r="H112" s="82"/>
      <c r="I112" s="83"/>
    </row>
    <row r="113" spans="1:9" ht="34.5" x14ac:dyDescent="0.25">
      <c r="A113" s="16" t="s">
        <v>115</v>
      </c>
      <c r="B113" s="17" t="s">
        <v>113</v>
      </c>
      <c r="C113" s="21">
        <v>1230</v>
      </c>
      <c r="D113" s="88" t="s">
        <v>118</v>
      </c>
      <c r="E113" s="89"/>
      <c r="F113" s="90"/>
      <c r="G113" s="30"/>
      <c r="H113" s="31"/>
      <c r="I113" s="32"/>
    </row>
    <row r="114" spans="1:9" x14ac:dyDescent="0.25">
      <c r="A114" s="16"/>
      <c r="B114" s="17" t="s">
        <v>114</v>
      </c>
      <c r="C114" s="21">
        <v>6433.1</v>
      </c>
      <c r="D114" s="13"/>
      <c r="E114" s="13"/>
      <c r="F114" s="39"/>
      <c r="G114" s="30"/>
      <c r="H114" s="31"/>
      <c r="I114" s="32"/>
    </row>
    <row r="115" spans="1:9" x14ac:dyDescent="0.25">
      <c r="A115" s="25"/>
      <c r="B115" s="17" t="s">
        <v>158</v>
      </c>
      <c r="C115" s="22">
        <f>SUM(C113:C114)</f>
        <v>7663.1</v>
      </c>
      <c r="D115" s="37"/>
      <c r="E115" s="37"/>
      <c r="F115" s="42"/>
      <c r="G115" s="74"/>
      <c r="H115" s="75"/>
      <c r="I115" s="76"/>
    </row>
    <row r="116" spans="1:9" x14ac:dyDescent="0.25">
      <c r="D116" s="19" t="s">
        <v>143</v>
      </c>
      <c r="E116" s="58">
        <v>44299</v>
      </c>
    </row>
    <row r="117" spans="1:9" ht="18" x14ac:dyDescent="0.25">
      <c r="A117" s="72" t="s">
        <v>146</v>
      </c>
      <c r="B117" s="72"/>
      <c r="C117" s="72"/>
      <c r="D117" s="57">
        <v>2265</v>
      </c>
      <c r="E117" s="56" t="s">
        <v>226</v>
      </c>
    </row>
    <row r="118" spans="1:9" x14ac:dyDescent="0.25">
      <c r="A118" s="73" t="s">
        <v>138</v>
      </c>
      <c r="B118" s="73"/>
      <c r="C118" s="73"/>
      <c r="G118" s="23"/>
    </row>
    <row r="119" spans="1:9" x14ac:dyDescent="0.25">
      <c r="A119" s="16" t="s">
        <v>139</v>
      </c>
      <c r="B119" s="17"/>
      <c r="C119" s="46">
        <f>5707.37</f>
        <v>5707.37</v>
      </c>
      <c r="D119" s="19">
        <f>D111</f>
        <v>7248.0000000000009</v>
      </c>
      <c r="E119" s="56" t="s">
        <v>144</v>
      </c>
    </row>
    <row r="120" spans="1:9" x14ac:dyDescent="0.25">
      <c r="A120" s="16" t="s">
        <v>140</v>
      </c>
      <c r="B120" s="46"/>
      <c r="C120" s="46">
        <f>24646.36</f>
        <v>24646.36</v>
      </c>
    </row>
    <row r="121" spans="1:9" x14ac:dyDescent="0.25">
      <c r="D121" s="19">
        <f>D119/D117</f>
        <v>3.2000000000000006</v>
      </c>
      <c r="E121" s="56" t="s">
        <v>145</v>
      </c>
    </row>
    <row r="124" spans="1:9" x14ac:dyDescent="0.25">
      <c r="B124" s="18" t="s">
        <v>168</v>
      </c>
      <c r="C124" s="65">
        <v>11.3</v>
      </c>
    </row>
    <row r="125" spans="1:9" x14ac:dyDescent="0.25">
      <c r="B125" s="18" t="s">
        <v>165</v>
      </c>
      <c r="C125" s="57">
        <v>44</v>
      </c>
    </row>
    <row r="126" spans="1:9" x14ac:dyDescent="0.25">
      <c r="B126" s="18" t="s">
        <v>166</v>
      </c>
      <c r="C126" s="57">
        <v>26</v>
      </c>
    </row>
    <row r="127" spans="1:9" x14ac:dyDescent="0.25">
      <c r="B127" s="18" t="s">
        <v>167</v>
      </c>
      <c r="C127" s="57">
        <f>SUM(C125:C126)</f>
        <v>70</v>
      </c>
    </row>
    <row r="129" spans="2:3" x14ac:dyDescent="0.25">
      <c r="B129" s="18" t="s">
        <v>169</v>
      </c>
      <c r="C129" s="65">
        <f>C127*C124</f>
        <v>791</v>
      </c>
    </row>
  </sheetData>
  <mergeCells count="13">
    <mergeCell ref="A118:C118"/>
    <mergeCell ref="A1:L1"/>
    <mergeCell ref="A2:L2"/>
    <mergeCell ref="A3:L3"/>
    <mergeCell ref="B5:C5"/>
    <mergeCell ref="D5:F5"/>
    <mergeCell ref="G5:I5"/>
    <mergeCell ref="J5:L5"/>
    <mergeCell ref="D112:F112"/>
    <mergeCell ref="G112:I112"/>
    <mergeCell ref="D113:F113"/>
    <mergeCell ref="G115:I115"/>
    <mergeCell ref="A117:C117"/>
  </mergeCells>
  <pageMargins left="0.25" right="0.25" top="0.75" bottom="0.75" header="0.3" footer="0.3"/>
  <pageSetup scale="66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35CF7-45A0-46F5-B241-0AC7B899954F}">
  <dimension ref="A1:O46"/>
  <sheetViews>
    <sheetView workbookViewId="0">
      <selection activeCell="S26" sqref="S26"/>
    </sheetView>
  </sheetViews>
  <sheetFormatPr defaultRowHeight="15" x14ac:dyDescent="0.25"/>
  <cols>
    <col min="1" max="1" width="22.28515625" bestFit="1" customWidth="1"/>
    <col min="8" max="8" width="10.85546875" bestFit="1" customWidth="1"/>
    <col min="9" max="9" width="10.28515625" bestFit="1" customWidth="1"/>
    <col min="11" max="11" width="10.85546875" bestFit="1" customWidth="1"/>
    <col min="13" max="13" width="11.28515625" bestFit="1" customWidth="1"/>
    <col min="15" max="15" width="11.42578125" bestFit="1" customWidth="1"/>
  </cols>
  <sheetData>
    <row r="1" spans="1:15" x14ac:dyDescent="0.25">
      <c r="A1" t="s">
        <v>170</v>
      </c>
    </row>
    <row r="2" spans="1:15" x14ac:dyDescent="0.25">
      <c r="A2" t="s">
        <v>228</v>
      </c>
      <c r="J2" t="s">
        <v>171</v>
      </c>
      <c r="K2" s="66">
        <v>44287</v>
      </c>
      <c r="O2" t="s">
        <v>225</v>
      </c>
    </row>
    <row r="3" spans="1:15" x14ac:dyDescent="0.25">
      <c r="O3" t="s">
        <v>224</v>
      </c>
    </row>
    <row r="4" spans="1:15" x14ac:dyDescent="0.25">
      <c r="B4" t="s">
        <v>167</v>
      </c>
      <c r="C4" t="s">
        <v>131</v>
      </c>
      <c r="D4" t="s">
        <v>172</v>
      </c>
      <c r="E4" t="s">
        <v>173</v>
      </c>
      <c r="F4" t="s">
        <v>174</v>
      </c>
      <c r="G4" t="s">
        <v>175</v>
      </c>
      <c r="H4" t="s">
        <v>176</v>
      </c>
      <c r="I4" t="s">
        <v>177</v>
      </c>
      <c r="J4" t="s">
        <v>178</v>
      </c>
      <c r="K4" t="s">
        <v>179</v>
      </c>
      <c r="M4" t="s">
        <v>221</v>
      </c>
      <c r="O4" t="s">
        <v>222</v>
      </c>
    </row>
    <row r="5" spans="1:15" x14ac:dyDescent="0.25">
      <c r="H5" s="67">
        <v>11.3</v>
      </c>
      <c r="I5" s="67">
        <v>2.5</v>
      </c>
      <c r="J5" s="67">
        <v>2.5</v>
      </c>
      <c r="K5" t="s">
        <v>180</v>
      </c>
      <c r="M5" s="71">
        <v>3.2</v>
      </c>
      <c r="O5" t="s">
        <v>223</v>
      </c>
    </row>
    <row r="7" spans="1:15" x14ac:dyDescent="0.25">
      <c r="A7" t="s">
        <v>181</v>
      </c>
      <c r="B7">
        <v>105</v>
      </c>
      <c r="C7">
        <v>6</v>
      </c>
      <c r="D7">
        <v>2</v>
      </c>
      <c r="E7">
        <v>23</v>
      </c>
      <c r="F7">
        <v>0</v>
      </c>
      <c r="G7">
        <v>74</v>
      </c>
      <c r="H7" s="67">
        <v>836.2</v>
      </c>
      <c r="I7" s="67">
        <v>15</v>
      </c>
      <c r="J7" s="67">
        <v>5</v>
      </c>
      <c r="K7" s="67">
        <v>856.2</v>
      </c>
      <c r="M7" s="67">
        <f>$M$5*G7</f>
        <v>236.8</v>
      </c>
      <c r="O7" s="67">
        <f>K7-M7</f>
        <v>619.40000000000009</v>
      </c>
    </row>
    <row r="8" spans="1:15" x14ac:dyDescent="0.25">
      <c r="A8" t="s">
        <v>182</v>
      </c>
      <c r="B8">
        <v>73</v>
      </c>
      <c r="C8">
        <v>9</v>
      </c>
      <c r="D8">
        <v>5</v>
      </c>
      <c r="E8">
        <v>15</v>
      </c>
      <c r="F8">
        <v>1</v>
      </c>
      <c r="G8">
        <v>43</v>
      </c>
      <c r="H8" s="67">
        <v>485.9</v>
      </c>
      <c r="I8" s="67">
        <v>22.5</v>
      </c>
      <c r="J8" s="67">
        <v>12.5</v>
      </c>
      <c r="K8" s="67">
        <v>520.9</v>
      </c>
      <c r="M8" s="67">
        <f t="shared" ref="M8:M45" si="0">$M$5*G8</f>
        <v>137.6</v>
      </c>
      <c r="O8" s="67">
        <f t="shared" ref="O8:O45" si="1">K8-M8</f>
        <v>383.29999999999995</v>
      </c>
    </row>
    <row r="9" spans="1:15" x14ac:dyDescent="0.25">
      <c r="A9" t="s">
        <v>183</v>
      </c>
      <c r="B9">
        <v>123</v>
      </c>
      <c r="C9">
        <v>9</v>
      </c>
      <c r="D9">
        <v>0</v>
      </c>
      <c r="E9">
        <v>10</v>
      </c>
      <c r="F9">
        <v>1</v>
      </c>
      <c r="G9">
        <v>103</v>
      </c>
      <c r="H9" s="67">
        <v>1163.9000000000001</v>
      </c>
      <c r="I9" s="67">
        <v>22.5</v>
      </c>
      <c r="J9" s="67">
        <v>0</v>
      </c>
      <c r="K9" s="67">
        <v>1186.4000000000001</v>
      </c>
      <c r="M9" s="67">
        <f t="shared" si="0"/>
        <v>329.6</v>
      </c>
      <c r="O9" s="67">
        <f t="shared" si="1"/>
        <v>856.80000000000007</v>
      </c>
    </row>
    <row r="10" spans="1:15" x14ac:dyDescent="0.25">
      <c r="A10" t="s">
        <v>184</v>
      </c>
      <c r="B10">
        <v>69</v>
      </c>
      <c r="C10">
        <v>7</v>
      </c>
      <c r="D10">
        <v>1</v>
      </c>
      <c r="E10">
        <v>10</v>
      </c>
      <c r="F10">
        <v>0</v>
      </c>
      <c r="G10">
        <v>51</v>
      </c>
      <c r="H10" s="67">
        <v>576.29999999999995</v>
      </c>
      <c r="I10" s="67">
        <v>17.5</v>
      </c>
      <c r="J10" s="67">
        <v>2.5</v>
      </c>
      <c r="K10" s="67">
        <v>596.29999999999995</v>
      </c>
      <c r="M10" s="67">
        <f t="shared" si="0"/>
        <v>163.20000000000002</v>
      </c>
      <c r="O10" s="67">
        <f t="shared" si="1"/>
        <v>433.09999999999991</v>
      </c>
    </row>
    <row r="11" spans="1:15" x14ac:dyDescent="0.25">
      <c r="A11" t="s">
        <v>185</v>
      </c>
      <c r="B11">
        <v>52</v>
      </c>
      <c r="C11">
        <v>0</v>
      </c>
      <c r="D11">
        <v>7</v>
      </c>
      <c r="E11">
        <v>10</v>
      </c>
      <c r="F11">
        <v>0</v>
      </c>
      <c r="G11">
        <v>35</v>
      </c>
      <c r="H11" s="67">
        <v>395.5</v>
      </c>
      <c r="I11" s="67">
        <v>0</v>
      </c>
      <c r="J11" s="67">
        <v>17.5</v>
      </c>
      <c r="K11" s="67">
        <v>413</v>
      </c>
      <c r="M11" s="67">
        <f t="shared" si="0"/>
        <v>112</v>
      </c>
      <c r="O11" s="67">
        <f t="shared" si="1"/>
        <v>301</v>
      </c>
    </row>
    <row r="12" spans="1:15" x14ac:dyDescent="0.25">
      <c r="A12" t="s">
        <v>186</v>
      </c>
      <c r="B12">
        <v>163</v>
      </c>
      <c r="C12">
        <v>0</v>
      </c>
      <c r="D12">
        <v>4</v>
      </c>
      <c r="E12">
        <v>10</v>
      </c>
      <c r="F12">
        <v>1</v>
      </c>
      <c r="G12">
        <v>148</v>
      </c>
      <c r="H12" s="67">
        <v>1672.4</v>
      </c>
      <c r="I12" s="67">
        <v>0</v>
      </c>
      <c r="J12" s="67">
        <v>10</v>
      </c>
      <c r="K12" s="67">
        <v>1682.4</v>
      </c>
      <c r="M12" s="67">
        <f t="shared" si="0"/>
        <v>473.6</v>
      </c>
      <c r="O12" s="67">
        <f t="shared" si="1"/>
        <v>1208.8000000000002</v>
      </c>
    </row>
    <row r="13" spans="1:15" x14ac:dyDescent="0.25">
      <c r="A13" t="s">
        <v>187</v>
      </c>
      <c r="B13">
        <v>53</v>
      </c>
      <c r="C13">
        <v>6</v>
      </c>
      <c r="D13">
        <v>4</v>
      </c>
      <c r="E13">
        <v>9</v>
      </c>
      <c r="F13">
        <v>0</v>
      </c>
      <c r="G13">
        <v>34</v>
      </c>
      <c r="H13" s="67">
        <v>384.2</v>
      </c>
      <c r="I13" s="67">
        <v>15</v>
      </c>
      <c r="J13" s="67">
        <v>10</v>
      </c>
      <c r="K13" s="67">
        <v>409.2</v>
      </c>
      <c r="M13" s="67">
        <f t="shared" si="0"/>
        <v>108.80000000000001</v>
      </c>
      <c r="O13" s="67">
        <f t="shared" si="1"/>
        <v>300.39999999999998</v>
      </c>
    </row>
    <row r="14" spans="1:15" x14ac:dyDescent="0.25">
      <c r="A14" t="s">
        <v>188</v>
      </c>
      <c r="B14">
        <v>91</v>
      </c>
      <c r="C14">
        <v>2</v>
      </c>
      <c r="D14">
        <v>1</v>
      </c>
      <c r="E14">
        <v>19</v>
      </c>
      <c r="F14">
        <v>0</v>
      </c>
      <c r="G14">
        <v>69</v>
      </c>
      <c r="H14" s="67">
        <v>779.7</v>
      </c>
      <c r="I14" s="67">
        <v>5</v>
      </c>
      <c r="J14" s="67">
        <v>2.5</v>
      </c>
      <c r="K14" s="67">
        <v>787.2</v>
      </c>
      <c r="M14" s="67">
        <f t="shared" si="0"/>
        <v>220.8</v>
      </c>
      <c r="O14" s="67">
        <f t="shared" si="1"/>
        <v>566.40000000000009</v>
      </c>
    </row>
    <row r="15" spans="1:15" x14ac:dyDescent="0.25">
      <c r="A15" t="s">
        <v>189</v>
      </c>
      <c r="B15">
        <v>87</v>
      </c>
      <c r="C15">
        <v>4</v>
      </c>
      <c r="D15">
        <v>5</v>
      </c>
      <c r="E15">
        <v>27</v>
      </c>
      <c r="F15">
        <v>1</v>
      </c>
      <c r="G15">
        <v>50</v>
      </c>
      <c r="H15" s="67">
        <v>565</v>
      </c>
      <c r="I15" s="67">
        <v>10</v>
      </c>
      <c r="J15" s="67">
        <v>12.5</v>
      </c>
      <c r="K15" s="67">
        <v>587.5</v>
      </c>
      <c r="M15" s="67">
        <f t="shared" si="0"/>
        <v>160</v>
      </c>
      <c r="O15" s="67">
        <f t="shared" si="1"/>
        <v>427.5</v>
      </c>
    </row>
    <row r="16" spans="1:15" x14ac:dyDescent="0.25">
      <c r="A16" t="s">
        <v>190</v>
      </c>
      <c r="B16">
        <v>59</v>
      </c>
      <c r="C16">
        <v>4</v>
      </c>
      <c r="D16">
        <v>5</v>
      </c>
      <c r="E16">
        <v>20</v>
      </c>
      <c r="F16">
        <v>0</v>
      </c>
      <c r="G16">
        <v>30</v>
      </c>
      <c r="H16" s="67">
        <v>339</v>
      </c>
      <c r="I16" s="67">
        <v>10</v>
      </c>
      <c r="J16" s="67">
        <v>12.5</v>
      </c>
      <c r="K16" s="67">
        <v>361.5</v>
      </c>
      <c r="M16" s="67">
        <f t="shared" si="0"/>
        <v>96</v>
      </c>
      <c r="O16" s="67">
        <f t="shared" si="1"/>
        <v>265.5</v>
      </c>
    </row>
    <row r="17" spans="1:15" x14ac:dyDescent="0.25">
      <c r="A17" t="s">
        <v>191</v>
      </c>
      <c r="B17">
        <v>64</v>
      </c>
      <c r="C17">
        <v>2</v>
      </c>
      <c r="D17">
        <v>2</v>
      </c>
      <c r="E17">
        <v>10</v>
      </c>
      <c r="F17">
        <v>3</v>
      </c>
      <c r="G17">
        <v>47</v>
      </c>
      <c r="H17" s="67">
        <v>531.1</v>
      </c>
      <c r="I17" s="67">
        <v>5</v>
      </c>
      <c r="J17" s="67">
        <v>5</v>
      </c>
      <c r="K17" s="67">
        <v>541.1</v>
      </c>
      <c r="M17" s="67">
        <f t="shared" si="0"/>
        <v>150.4</v>
      </c>
      <c r="O17" s="67">
        <f t="shared" si="1"/>
        <v>390.70000000000005</v>
      </c>
    </row>
    <row r="18" spans="1:15" x14ac:dyDescent="0.25">
      <c r="A18" t="s">
        <v>192</v>
      </c>
      <c r="B18">
        <v>124</v>
      </c>
      <c r="C18">
        <v>3</v>
      </c>
      <c r="D18">
        <v>13</v>
      </c>
      <c r="E18">
        <v>27</v>
      </c>
      <c r="F18">
        <v>0</v>
      </c>
      <c r="G18">
        <v>81</v>
      </c>
      <c r="H18" s="67">
        <v>915.3</v>
      </c>
      <c r="I18" s="67">
        <v>7.5</v>
      </c>
      <c r="J18" s="67">
        <v>32.5</v>
      </c>
      <c r="K18" s="67">
        <v>955.3</v>
      </c>
      <c r="M18" s="67">
        <f t="shared" si="0"/>
        <v>259.2</v>
      </c>
      <c r="O18" s="67">
        <f t="shared" si="1"/>
        <v>696.09999999999991</v>
      </c>
    </row>
    <row r="19" spans="1:15" x14ac:dyDescent="0.25">
      <c r="A19" t="s">
        <v>193</v>
      </c>
      <c r="B19">
        <v>51</v>
      </c>
      <c r="C19">
        <v>0</v>
      </c>
      <c r="D19">
        <v>0</v>
      </c>
      <c r="E19">
        <v>8</v>
      </c>
      <c r="F19">
        <v>0</v>
      </c>
      <c r="G19">
        <v>43</v>
      </c>
      <c r="H19" s="67">
        <v>485.9</v>
      </c>
      <c r="I19" s="67">
        <v>0</v>
      </c>
      <c r="J19" s="67">
        <v>0</v>
      </c>
      <c r="K19" s="67">
        <v>485.9</v>
      </c>
      <c r="M19" s="67">
        <f t="shared" si="0"/>
        <v>137.6</v>
      </c>
      <c r="O19" s="67">
        <f t="shared" si="1"/>
        <v>348.29999999999995</v>
      </c>
    </row>
    <row r="20" spans="1:15" x14ac:dyDescent="0.25">
      <c r="A20" t="s">
        <v>194</v>
      </c>
      <c r="B20">
        <v>81</v>
      </c>
      <c r="C20">
        <v>2</v>
      </c>
      <c r="D20">
        <v>3</v>
      </c>
      <c r="E20">
        <v>13</v>
      </c>
      <c r="F20">
        <v>2</v>
      </c>
      <c r="G20">
        <v>61</v>
      </c>
      <c r="H20" s="67">
        <v>689.3</v>
      </c>
      <c r="I20" s="67">
        <v>5</v>
      </c>
      <c r="J20" s="67">
        <v>7.5</v>
      </c>
      <c r="K20" s="67">
        <v>701.8</v>
      </c>
      <c r="M20" s="67">
        <f t="shared" si="0"/>
        <v>195.20000000000002</v>
      </c>
      <c r="O20" s="67">
        <f t="shared" si="1"/>
        <v>506.59999999999991</v>
      </c>
    </row>
    <row r="21" spans="1:15" x14ac:dyDescent="0.25">
      <c r="A21" t="s">
        <v>195</v>
      </c>
      <c r="B21">
        <v>73</v>
      </c>
      <c r="C21">
        <v>8</v>
      </c>
      <c r="D21">
        <v>2</v>
      </c>
      <c r="E21">
        <v>14</v>
      </c>
      <c r="F21">
        <v>0</v>
      </c>
      <c r="G21">
        <v>49</v>
      </c>
      <c r="H21" s="67">
        <v>553.70000000000005</v>
      </c>
      <c r="I21" s="67">
        <v>20</v>
      </c>
      <c r="J21" s="67">
        <v>5</v>
      </c>
      <c r="K21" s="67">
        <v>578.70000000000005</v>
      </c>
      <c r="M21" s="67">
        <f t="shared" si="0"/>
        <v>156.80000000000001</v>
      </c>
      <c r="O21" s="67">
        <f t="shared" si="1"/>
        <v>421.90000000000003</v>
      </c>
    </row>
    <row r="22" spans="1:15" x14ac:dyDescent="0.25">
      <c r="A22" t="s">
        <v>196</v>
      </c>
      <c r="B22">
        <v>32</v>
      </c>
      <c r="C22">
        <v>4</v>
      </c>
      <c r="D22">
        <v>2</v>
      </c>
      <c r="E22">
        <v>5</v>
      </c>
      <c r="F22">
        <v>0</v>
      </c>
      <c r="G22">
        <v>21</v>
      </c>
      <c r="H22" s="67">
        <v>237.3</v>
      </c>
      <c r="I22" s="67">
        <v>10</v>
      </c>
      <c r="J22" s="67">
        <v>5</v>
      </c>
      <c r="K22" s="67">
        <v>252.3</v>
      </c>
      <c r="M22" s="67">
        <f t="shared" si="0"/>
        <v>67.2</v>
      </c>
      <c r="O22" s="67">
        <f t="shared" si="1"/>
        <v>185.10000000000002</v>
      </c>
    </row>
    <row r="23" spans="1:15" x14ac:dyDescent="0.25">
      <c r="A23" t="s">
        <v>197</v>
      </c>
      <c r="B23">
        <v>42</v>
      </c>
      <c r="C23">
        <v>3</v>
      </c>
      <c r="D23">
        <v>1</v>
      </c>
      <c r="E23">
        <v>9</v>
      </c>
      <c r="F23">
        <v>0</v>
      </c>
      <c r="G23">
        <v>29</v>
      </c>
      <c r="H23" s="67">
        <v>327.7</v>
      </c>
      <c r="I23" s="67">
        <v>7.5</v>
      </c>
      <c r="J23" s="67">
        <v>2.5</v>
      </c>
      <c r="K23" s="67">
        <v>337.7</v>
      </c>
      <c r="M23" s="67">
        <f t="shared" si="0"/>
        <v>92.800000000000011</v>
      </c>
      <c r="O23" s="67">
        <f t="shared" si="1"/>
        <v>244.89999999999998</v>
      </c>
    </row>
    <row r="24" spans="1:15" x14ac:dyDescent="0.25">
      <c r="A24" t="s">
        <v>198</v>
      </c>
      <c r="B24">
        <v>87</v>
      </c>
      <c r="C24">
        <v>2</v>
      </c>
      <c r="D24">
        <v>2</v>
      </c>
      <c r="E24">
        <v>5</v>
      </c>
      <c r="F24">
        <v>0</v>
      </c>
      <c r="G24">
        <v>78</v>
      </c>
      <c r="H24" s="67">
        <v>881.4</v>
      </c>
      <c r="I24" s="67">
        <v>5</v>
      </c>
      <c r="J24" s="67">
        <v>5</v>
      </c>
      <c r="K24" s="67">
        <v>891.4</v>
      </c>
      <c r="M24" s="67">
        <f t="shared" si="0"/>
        <v>249.60000000000002</v>
      </c>
      <c r="O24" s="67">
        <f t="shared" si="1"/>
        <v>641.79999999999995</v>
      </c>
    </row>
    <row r="25" spans="1:15" x14ac:dyDescent="0.25">
      <c r="A25" t="s">
        <v>199</v>
      </c>
      <c r="B25">
        <v>104</v>
      </c>
      <c r="C25">
        <v>5</v>
      </c>
      <c r="D25">
        <v>3</v>
      </c>
      <c r="E25">
        <v>13</v>
      </c>
      <c r="F25">
        <v>1</v>
      </c>
      <c r="G25">
        <v>82</v>
      </c>
      <c r="H25" s="67">
        <v>926.6</v>
      </c>
      <c r="I25" s="67">
        <v>12.5</v>
      </c>
      <c r="J25" s="67">
        <v>7.5</v>
      </c>
      <c r="K25" s="67">
        <v>946.6</v>
      </c>
      <c r="M25" s="67">
        <f t="shared" si="0"/>
        <v>262.40000000000003</v>
      </c>
      <c r="O25" s="67">
        <f t="shared" si="1"/>
        <v>684.2</v>
      </c>
    </row>
    <row r="26" spans="1:15" x14ac:dyDescent="0.25">
      <c r="A26" t="s">
        <v>200</v>
      </c>
      <c r="B26">
        <v>81</v>
      </c>
      <c r="C26">
        <v>6</v>
      </c>
      <c r="D26">
        <v>5</v>
      </c>
      <c r="E26">
        <v>11</v>
      </c>
      <c r="F26">
        <v>0</v>
      </c>
      <c r="G26">
        <v>59</v>
      </c>
      <c r="H26" s="67">
        <v>666.7</v>
      </c>
      <c r="I26" s="67">
        <v>15</v>
      </c>
      <c r="J26" s="67">
        <v>12.5</v>
      </c>
      <c r="K26" s="67">
        <v>694.2</v>
      </c>
      <c r="M26" s="67">
        <f t="shared" si="0"/>
        <v>188.8</v>
      </c>
      <c r="O26" s="67">
        <f t="shared" si="1"/>
        <v>505.40000000000003</v>
      </c>
    </row>
    <row r="27" spans="1:15" x14ac:dyDescent="0.25">
      <c r="A27" t="s">
        <v>201</v>
      </c>
      <c r="B27">
        <v>177</v>
      </c>
      <c r="C27">
        <v>3</v>
      </c>
      <c r="D27">
        <v>2</v>
      </c>
      <c r="E27">
        <v>30</v>
      </c>
      <c r="F27">
        <v>4</v>
      </c>
      <c r="G27">
        <v>138</v>
      </c>
      <c r="H27" s="67">
        <v>1559.4</v>
      </c>
      <c r="I27" s="67">
        <v>7.5</v>
      </c>
      <c r="J27" s="67">
        <v>5</v>
      </c>
      <c r="K27" s="67">
        <v>1571.9</v>
      </c>
      <c r="M27" s="67">
        <f t="shared" si="0"/>
        <v>441.6</v>
      </c>
      <c r="O27" s="67">
        <f t="shared" si="1"/>
        <v>1130.3000000000002</v>
      </c>
    </row>
    <row r="28" spans="1:15" x14ac:dyDescent="0.25">
      <c r="A28" t="s">
        <v>202</v>
      </c>
      <c r="B28">
        <v>89</v>
      </c>
      <c r="C28">
        <v>7</v>
      </c>
      <c r="D28">
        <v>1</v>
      </c>
      <c r="E28">
        <v>15</v>
      </c>
      <c r="F28">
        <v>1</v>
      </c>
      <c r="G28">
        <v>65</v>
      </c>
      <c r="H28" s="67">
        <v>734.5</v>
      </c>
      <c r="I28" s="67">
        <v>17.5</v>
      </c>
      <c r="J28" s="67">
        <v>2.5</v>
      </c>
      <c r="K28" s="67">
        <v>754.5</v>
      </c>
      <c r="M28" s="67">
        <f t="shared" si="0"/>
        <v>208</v>
      </c>
      <c r="O28" s="67">
        <f t="shared" si="1"/>
        <v>546.5</v>
      </c>
    </row>
    <row r="29" spans="1:15" x14ac:dyDescent="0.25">
      <c r="A29" t="s">
        <v>203</v>
      </c>
      <c r="B29">
        <v>145</v>
      </c>
      <c r="C29">
        <v>7</v>
      </c>
      <c r="D29">
        <v>2</v>
      </c>
      <c r="E29">
        <v>21</v>
      </c>
      <c r="F29">
        <v>0</v>
      </c>
      <c r="G29">
        <v>115</v>
      </c>
      <c r="H29" s="67">
        <v>1299.5</v>
      </c>
      <c r="I29" s="67">
        <v>17.5</v>
      </c>
      <c r="J29" s="67">
        <v>5</v>
      </c>
      <c r="K29" s="67">
        <v>1322</v>
      </c>
      <c r="M29" s="67">
        <f t="shared" si="0"/>
        <v>368</v>
      </c>
      <c r="O29" s="67">
        <f t="shared" si="1"/>
        <v>954</v>
      </c>
    </row>
    <row r="30" spans="1:15" x14ac:dyDescent="0.25">
      <c r="A30" t="s">
        <v>204</v>
      </c>
      <c r="B30">
        <v>16</v>
      </c>
      <c r="C30">
        <v>7</v>
      </c>
      <c r="D30">
        <v>0</v>
      </c>
      <c r="E30">
        <v>7</v>
      </c>
      <c r="F30">
        <v>0</v>
      </c>
      <c r="G30">
        <v>2</v>
      </c>
      <c r="H30" s="67">
        <v>22.6</v>
      </c>
      <c r="I30" s="67">
        <v>17.5</v>
      </c>
      <c r="J30" s="67">
        <v>0</v>
      </c>
      <c r="K30" s="67">
        <v>40.1</v>
      </c>
      <c r="M30" s="67">
        <f t="shared" si="0"/>
        <v>6.4</v>
      </c>
      <c r="O30" s="67">
        <f t="shared" si="1"/>
        <v>33.700000000000003</v>
      </c>
    </row>
    <row r="31" spans="1:15" x14ac:dyDescent="0.25">
      <c r="A31" t="s">
        <v>205</v>
      </c>
      <c r="B31">
        <v>251</v>
      </c>
      <c r="C31">
        <v>15</v>
      </c>
      <c r="D31">
        <v>8</v>
      </c>
      <c r="E31">
        <v>15</v>
      </c>
      <c r="F31">
        <v>0</v>
      </c>
      <c r="G31">
        <v>213</v>
      </c>
      <c r="H31" s="67">
        <v>2406.9</v>
      </c>
      <c r="I31" s="67">
        <v>37.5</v>
      </c>
      <c r="J31" s="67">
        <v>20</v>
      </c>
      <c r="K31" s="67">
        <v>2464.4</v>
      </c>
      <c r="M31" s="67">
        <f t="shared" si="0"/>
        <v>681.6</v>
      </c>
      <c r="O31" s="67">
        <f t="shared" si="1"/>
        <v>1782.8000000000002</v>
      </c>
    </row>
    <row r="32" spans="1:15" x14ac:dyDescent="0.25">
      <c r="A32" t="s">
        <v>206</v>
      </c>
      <c r="B32">
        <v>45</v>
      </c>
      <c r="C32">
        <v>0</v>
      </c>
      <c r="D32">
        <v>0</v>
      </c>
      <c r="E32">
        <v>6</v>
      </c>
      <c r="F32">
        <v>0</v>
      </c>
      <c r="G32">
        <v>39</v>
      </c>
      <c r="H32" s="67">
        <v>440.7</v>
      </c>
      <c r="I32" s="67">
        <v>0</v>
      </c>
      <c r="J32" s="67">
        <v>0</v>
      </c>
      <c r="K32" s="67">
        <v>440.7</v>
      </c>
      <c r="M32" s="67">
        <f t="shared" si="0"/>
        <v>124.80000000000001</v>
      </c>
      <c r="O32" s="67">
        <f t="shared" si="1"/>
        <v>315.89999999999998</v>
      </c>
    </row>
    <row r="33" spans="1:15" x14ac:dyDescent="0.25">
      <c r="A33" t="s">
        <v>207</v>
      </c>
      <c r="B33">
        <v>68</v>
      </c>
      <c r="C33">
        <v>2</v>
      </c>
      <c r="D33">
        <v>0</v>
      </c>
      <c r="E33">
        <v>3</v>
      </c>
      <c r="F33">
        <v>0</v>
      </c>
      <c r="G33">
        <v>63</v>
      </c>
      <c r="H33" s="67">
        <v>711.9</v>
      </c>
      <c r="I33" s="67">
        <v>5</v>
      </c>
      <c r="J33" s="67">
        <v>0</v>
      </c>
      <c r="K33" s="67">
        <v>716.9</v>
      </c>
      <c r="M33" s="67">
        <f t="shared" si="0"/>
        <v>201.60000000000002</v>
      </c>
      <c r="O33" s="67">
        <f t="shared" si="1"/>
        <v>515.29999999999995</v>
      </c>
    </row>
    <row r="34" spans="1:15" x14ac:dyDescent="0.25">
      <c r="A34" t="s">
        <v>208</v>
      </c>
      <c r="B34">
        <v>65</v>
      </c>
      <c r="C34">
        <v>1</v>
      </c>
      <c r="D34">
        <v>0</v>
      </c>
      <c r="E34">
        <v>8</v>
      </c>
      <c r="F34">
        <v>0</v>
      </c>
      <c r="G34">
        <v>56</v>
      </c>
      <c r="H34" s="67">
        <v>632.79999999999995</v>
      </c>
      <c r="I34" s="67">
        <v>2.5</v>
      </c>
      <c r="J34" s="67">
        <v>0</v>
      </c>
      <c r="K34" s="67">
        <v>635.29999999999995</v>
      </c>
      <c r="M34" s="67">
        <f t="shared" si="0"/>
        <v>179.20000000000002</v>
      </c>
      <c r="O34" s="67">
        <f t="shared" si="1"/>
        <v>456.09999999999991</v>
      </c>
    </row>
    <row r="35" spans="1:15" x14ac:dyDescent="0.25">
      <c r="A35" t="s">
        <v>209</v>
      </c>
      <c r="B35">
        <v>38</v>
      </c>
      <c r="C35">
        <v>5</v>
      </c>
      <c r="D35">
        <v>0</v>
      </c>
      <c r="E35">
        <v>1</v>
      </c>
      <c r="F35">
        <v>0</v>
      </c>
      <c r="G35">
        <v>32</v>
      </c>
      <c r="H35" s="67">
        <v>361.6</v>
      </c>
      <c r="I35" s="67">
        <v>12.5</v>
      </c>
      <c r="J35" s="67">
        <v>0</v>
      </c>
      <c r="K35" s="67">
        <v>374.1</v>
      </c>
      <c r="M35" s="67">
        <f t="shared" si="0"/>
        <v>102.4</v>
      </c>
      <c r="O35" s="67">
        <f t="shared" si="1"/>
        <v>271.70000000000005</v>
      </c>
    </row>
    <row r="36" spans="1:15" x14ac:dyDescent="0.25">
      <c r="A36" t="s">
        <v>210</v>
      </c>
      <c r="B36">
        <v>31</v>
      </c>
      <c r="C36">
        <v>2</v>
      </c>
      <c r="D36">
        <v>1</v>
      </c>
      <c r="E36">
        <v>1</v>
      </c>
      <c r="F36">
        <v>0</v>
      </c>
      <c r="G36">
        <v>27</v>
      </c>
      <c r="H36" s="67">
        <v>305.10000000000002</v>
      </c>
      <c r="I36" s="67">
        <v>5</v>
      </c>
      <c r="J36" s="67">
        <v>2.5</v>
      </c>
      <c r="K36" s="67">
        <v>312.60000000000002</v>
      </c>
      <c r="M36" s="67">
        <f t="shared" si="0"/>
        <v>86.4</v>
      </c>
      <c r="O36" s="67">
        <f t="shared" si="1"/>
        <v>226.20000000000002</v>
      </c>
    </row>
    <row r="37" spans="1:15" x14ac:dyDescent="0.25">
      <c r="A37" t="s">
        <v>211</v>
      </c>
      <c r="B37">
        <v>86</v>
      </c>
      <c r="C37">
        <v>5</v>
      </c>
      <c r="D37">
        <v>1</v>
      </c>
      <c r="E37">
        <v>5</v>
      </c>
      <c r="F37">
        <v>0</v>
      </c>
      <c r="G37">
        <v>75</v>
      </c>
      <c r="H37" s="67">
        <v>847.5</v>
      </c>
      <c r="I37" s="67">
        <v>12.5</v>
      </c>
      <c r="J37" s="67">
        <v>2.5</v>
      </c>
      <c r="K37" s="67">
        <v>862.5</v>
      </c>
      <c r="M37" s="67">
        <f t="shared" si="0"/>
        <v>240</v>
      </c>
      <c r="O37" s="67">
        <f t="shared" si="1"/>
        <v>622.5</v>
      </c>
    </row>
    <row r="38" spans="1:15" x14ac:dyDescent="0.25">
      <c r="A38" t="s">
        <v>212</v>
      </c>
      <c r="B38">
        <v>50</v>
      </c>
      <c r="C38">
        <v>2</v>
      </c>
      <c r="D38">
        <v>2</v>
      </c>
      <c r="E38">
        <v>7</v>
      </c>
      <c r="F38">
        <v>0</v>
      </c>
      <c r="G38">
        <v>39</v>
      </c>
      <c r="H38" s="67">
        <v>440.7</v>
      </c>
      <c r="I38" s="67">
        <v>5</v>
      </c>
      <c r="J38" s="67">
        <v>5</v>
      </c>
      <c r="K38" s="67">
        <v>450.7</v>
      </c>
      <c r="M38" s="67">
        <f t="shared" si="0"/>
        <v>124.80000000000001</v>
      </c>
      <c r="O38" s="67">
        <f t="shared" si="1"/>
        <v>325.89999999999998</v>
      </c>
    </row>
    <row r="39" spans="1:15" x14ac:dyDescent="0.25">
      <c r="A39" t="s">
        <v>213</v>
      </c>
      <c r="B39">
        <v>92</v>
      </c>
      <c r="C39">
        <v>0</v>
      </c>
      <c r="D39">
        <v>1</v>
      </c>
      <c r="E39">
        <v>5</v>
      </c>
      <c r="F39">
        <v>0</v>
      </c>
      <c r="G39">
        <v>86</v>
      </c>
      <c r="H39" s="67">
        <v>971.8</v>
      </c>
      <c r="I39" s="67">
        <v>0</v>
      </c>
      <c r="J39" s="67">
        <v>2.5</v>
      </c>
      <c r="K39" s="67">
        <v>974.3</v>
      </c>
      <c r="M39" s="67">
        <f t="shared" si="0"/>
        <v>275.2</v>
      </c>
      <c r="O39" s="67">
        <f t="shared" si="1"/>
        <v>699.09999999999991</v>
      </c>
    </row>
    <row r="40" spans="1:15" x14ac:dyDescent="0.25">
      <c r="A40" t="s">
        <v>214</v>
      </c>
      <c r="B40">
        <v>24</v>
      </c>
      <c r="C40">
        <v>2</v>
      </c>
      <c r="D40">
        <v>0</v>
      </c>
      <c r="E40">
        <v>1</v>
      </c>
      <c r="F40">
        <v>0</v>
      </c>
      <c r="G40">
        <v>21</v>
      </c>
      <c r="H40" s="67">
        <v>237.3</v>
      </c>
      <c r="I40" s="67">
        <v>5</v>
      </c>
      <c r="J40" s="67">
        <v>0</v>
      </c>
      <c r="K40" s="67">
        <v>242.3</v>
      </c>
      <c r="M40" s="67">
        <f t="shared" si="0"/>
        <v>67.2</v>
      </c>
      <c r="O40" s="67">
        <f t="shared" si="1"/>
        <v>175.10000000000002</v>
      </c>
    </row>
    <row r="41" spans="1:15" x14ac:dyDescent="0.25">
      <c r="A41" t="s">
        <v>215</v>
      </c>
      <c r="B41">
        <v>33</v>
      </c>
      <c r="C41">
        <v>2</v>
      </c>
      <c r="D41">
        <v>0</v>
      </c>
      <c r="E41">
        <v>2</v>
      </c>
      <c r="F41">
        <v>0</v>
      </c>
      <c r="G41">
        <v>29</v>
      </c>
      <c r="H41" s="67">
        <v>327.7</v>
      </c>
      <c r="I41" s="67">
        <v>5</v>
      </c>
      <c r="J41" s="67">
        <v>0</v>
      </c>
      <c r="K41" s="67">
        <v>332.7</v>
      </c>
      <c r="M41" s="67">
        <f t="shared" si="0"/>
        <v>92.800000000000011</v>
      </c>
      <c r="O41" s="67">
        <f t="shared" si="1"/>
        <v>239.89999999999998</v>
      </c>
    </row>
    <row r="42" spans="1:15" x14ac:dyDescent="0.25">
      <c r="A42" t="s">
        <v>216</v>
      </c>
      <c r="B42">
        <v>64</v>
      </c>
      <c r="C42">
        <v>3</v>
      </c>
      <c r="D42">
        <v>1</v>
      </c>
      <c r="E42">
        <v>6</v>
      </c>
      <c r="F42">
        <v>0</v>
      </c>
      <c r="G42">
        <v>54</v>
      </c>
      <c r="H42" s="67">
        <v>610.20000000000005</v>
      </c>
      <c r="I42" s="67">
        <v>7.5</v>
      </c>
      <c r="J42" s="67">
        <v>2.5</v>
      </c>
      <c r="K42" s="67">
        <v>620.20000000000005</v>
      </c>
      <c r="M42" s="67">
        <f t="shared" si="0"/>
        <v>172.8</v>
      </c>
      <c r="O42" s="67">
        <f t="shared" si="1"/>
        <v>447.40000000000003</v>
      </c>
    </row>
    <row r="43" spans="1:15" x14ac:dyDescent="0.25">
      <c r="A43" t="s">
        <v>217</v>
      </c>
      <c r="B43">
        <v>25</v>
      </c>
      <c r="C43">
        <v>0</v>
      </c>
      <c r="D43">
        <v>0</v>
      </c>
      <c r="E43">
        <v>1</v>
      </c>
      <c r="F43">
        <v>0</v>
      </c>
      <c r="G43">
        <v>24</v>
      </c>
      <c r="H43" s="67">
        <v>271.2</v>
      </c>
      <c r="I43" s="67">
        <v>0</v>
      </c>
      <c r="J43" s="67">
        <v>0</v>
      </c>
      <c r="K43" s="67">
        <v>271.2</v>
      </c>
      <c r="M43" s="67">
        <f t="shared" si="0"/>
        <v>76.800000000000011</v>
      </c>
      <c r="O43" s="67">
        <f t="shared" si="1"/>
        <v>194.39999999999998</v>
      </c>
    </row>
    <row r="44" spans="1:15" x14ac:dyDescent="0.25">
      <c r="A44" t="s">
        <v>218</v>
      </c>
      <c r="B44">
        <v>52</v>
      </c>
      <c r="C44">
        <v>3</v>
      </c>
      <c r="D44">
        <v>0</v>
      </c>
      <c r="E44">
        <v>0</v>
      </c>
      <c r="F44">
        <v>0</v>
      </c>
      <c r="G44">
        <v>49</v>
      </c>
      <c r="H44" s="67">
        <v>553.70000000000005</v>
      </c>
      <c r="I44" s="67">
        <v>7.5</v>
      </c>
      <c r="J44" s="67">
        <v>0</v>
      </c>
      <c r="K44" s="67">
        <v>561.20000000000005</v>
      </c>
      <c r="M44" s="67"/>
      <c r="O44" s="67">
        <f t="shared" si="1"/>
        <v>561.20000000000005</v>
      </c>
    </row>
    <row r="45" spans="1:15" x14ac:dyDescent="0.25">
      <c r="A45" t="s">
        <v>219</v>
      </c>
      <c r="G45">
        <v>0</v>
      </c>
      <c r="H45" s="67">
        <v>0</v>
      </c>
      <c r="I45" s="67">
        <v>0</v>
      </c>
      <c r="J45" s="67">
        <v>0</v>
      </c>
      <c r="K45" s="67">
        <v>0</v>
      </c>
      <c r="M45" s="67">
        <f t="shared" si="0"/>
        <v>0</v>
      </c>
      <c r="O45" s="67">
        <f t="shared" si="1"/>
        <v>0</v>
      </c>
    </row>
    <row r="46" spans="1:15" x14ac:dyDescent="0.25">
      <c r="A46" t="s">
        <v>220</v>
      </c>
      <c r="B46">
        <v>2965</v>
      </c>
      <c r="C46">
        <v>148</v>
      </c>
      <c r="D46">
        <v>86</v>
      </c>
      <c r="E46">
        <v>402</v>
      </c>
      <c r="F46">
        <v>15</v>
      </c>
      <c r="G46">
        <v>2314</v>
      </c>
      <c r="H46" s="67">
        <v>26148.2</v>
      </c>
      <c r="I46" s="67">
        <v>370</v>
      </c>
      <c r="J46" s="67">
        <v>215</v>
      </c>
      <c r="K46" s="67">
        <v>26733.200000000001</v>
      </c>
      <c r="M46" s="67">
        <f>SUM(M7:M45)</f>
        <v>7248</v>
      </c>
      <c r="O46" s="67">
        <f>SUM(O7:O45)</f>
        <v>19485.200000000004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Budget vs. Actuals</vt:lpstr>
      <vt:lpstr>wrksht</vt:lpstr>
      <vt:lpstr>PC &amp; Credit</vt:lpstr>
      <vt:lpstr>'Budget vs. Actuals'!Print_Area</vt:lpstr>
      <vt:lpstr>wrksht!Print_Area</vt:lpstr>
      <vt:lpstr>'Budget vs. Actuals'!Print_Titles</vt:lpstr>
      <vt:lpstr>wrksht!Print_Titles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 VanMaren</cp:lastModifiedBy>
  <cp:lastPrinted>2021-02-27T17:55:01Z</cp:lastPrinted>
  <dcterms:created xsi:type="dcterms:W3CDTF">2020-04-17T16:22:52Z</dcterms:created>
  <dcterms:modified xsi:type="dcterms:W3CDTF">2021-04-16T09:37:20Z</dcterms:modified>
</cp:coreProperties>
</file>